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tabRatio="895" firstSheet="25" activeTab="33"/>
  </bookViews>
  <sheets>
    <sheet name="Кирова 19а" sheetId="1" r:id="rId1"/>
    <sheet name="Строительная 28аотчет" sheetId="2" r:id="rId2"/>
    <sheet name="Строительная 28а" sheetId="3" r:id="rId3"/>
    <sheet name="М.Горького 3а" sheetId="4" r:id="rId4"/>
    <sheet name="М.Горького 3б" sheetId="5" r:id="rId5"/>
    <sheet name="М.Горького 4б" sheetId="6" r:id="rId6"/>
    <sheet name="М.Горького 4а" sheetId="7" r:id="rId7"/>
    <sheet name="Лесная 3а" sheetId="8" r:id="rId8"/>
    <sheet name="Лесная 2а" sheetId="9" r:id="rId9"/>
    <sheet name="Пионерская 24а" sheetId="10" r:id="rId10"/>
    <sheet name="Пионерская 20" sheetId="11" r:id="rId11"/>
    <sheet name="Пионерская 18" sheetId="12" r:id="rId12"/>
    <sheet name="Пионерская 16" sheetId="13" r:id="rId13"/>
    <sheet name="Пионерская 14" sheetId="14" r:id="rId14"/>
    <sheet name="Пионерская 6" sheetId="15" r:id="rId15"/>
    <sheet name="Пионерская 4 " sheetId="16" r:id="rId16"/>
    <sheet name="Пионерская 2а" sheetId="17" r:id="rId17"/>
    <sheet name="Гагарина 5а" sheetId="18" r:id="rId18"/>
    <sheet name="Гагарина 2а" sheetId="19" r:id="rId19"/>
    <sheet name="Гагарина 1" sheetId="20" r:id="rId20"/>
    <sheet name="вокзальная 17а" sheetId="21" r:id="rId21"/>
    <sheet name="вокзальная 11" sheetId="22" r:id="rId22"/>
    <sheet name="вокзальная 9" sheetId="23" r:id="rId23"/>
    <sheet name="Пушкина 30а" sheetId="24" r:id="rId24"/>
    <sheet name="Пушкина 11а" sheetId="25" r:id="rId25"/>
    <sheet name="Пушкина 7а" sheetId="26" r:id="rId26"/>
    <sheet name="Пушкина 6а" sheetId="27" r:id="rId27"/>
    <sheet name="Пушкина 5а" sheetId="28" r:id="rId28"/>
    <sheet name="Пушкина 4а" sheetId="29" r:id="rId29"/>
    <sheet name="Пушкина 3а" sheetId="30" r:id="rId30"/>
    <sheet name="Пушкина 2а" sheetId="31" r:id="rId31"/>
    <sheet name="Пушкина 2" sheetId="32" r:id="rId32"/>
    <sheet name="7 км дом 2" sheetId="33" r:id="rId33"/>
    <sheet name="7 км дом1" sheetId="34" r:id="rId34"/>
    <sheet name="Западная 15" sheetId="35" r:id="rId35"/>
    <sheet name="Лист1" sheetId="36" r:id="rId36"/>
    <sheet name="свод" sheetId="37" r:id="rId37"/>
    <sheet name="Лист3" sheetId="38" r:id="rId38"/>
  </sheets>
  <definedNames/>
  <calcPr fullCalcOnLoad="1"/>
</workbook>
</file>

<file path=xl/sharedStrings.xml><?xml version="1.0" encoding="utf-8"?>
<sst xmlns="http://schemas.openxmlformats.org/spreadsheetml/2006/main" count="7283" uniqueCount="2981">
  <si>
    <t>Санитарная уборка мест общего пользования</t>
  </si>
  <si>
    <t>1.1.</t>
  </si>
  <si>
    <t>Подметание с предварительным увлажнением лестничных площадок и маршей нижних 3-х этажей (1 раз в день  304 раз/в год)</t>
  </si>
  <si>
    <t>1.2.</t>
  </si>
  <si>
    <t xml:space="preserve">Подметание с предварительным увлажнением тамбура при входе в подвал                                                                                                                               </t>
  </si>
  <si>
    <t>1.3.</t>
  </si>
  <si>
    <t xml:space="preserve">Подметание с предварительным увлажнением лестничных площадок и маршей выше 3-го этажа  (через день, 152 раза/в год)                                                                            </t>
  </si>
  <si>
    <t>1.4.</t>
  </si>
  <si>
    <t xml:space="preserve">Мытье лестничных площадок и маршей с периодической сменой воды нижних  3-х этажей (1 раз в месяц, 9 раз/в год, кроме декабря, января, февраля)                                                                                                           </t>
  </si>
  <si>
    <t>1.5.</t>
  </si>
  <si>
    <t xml:space="preserve">Мытье лестничных площадок и маршей с периодической сменой воды выше 3-го этажа (1 раз в месяц, 9 раз/в год, кроме декабря, января, февраля)                                                                                                                  </t>
  </si>
  <si>
    <t>1.6.</t>
  </si>
  <si>
    <t>Мытье окон (1 раз/в год)</t>
  </si>
  <si>
    <t>1.7.</t>
  </si>
  <si>
    <t xml:space="preserve">Влажная протирка элементов лестничных клеток жилых домов с периодической сменой воды - дверей (1 раз/в год)                                                                                                                                 </t>
  </si>
  <si>
    <t>1.8.</t>
  </si>
  <si>
    <t xml:space="preserve">Влажная протирка элементов лестничных клеток жилых домов с периодической сменой воды - чердачные лестницы (периодичность 1 раз в 3 месяца, 4 раза/в год)                                                                                                                                                                                      </t>
  </si>
  <si>
    <t>1.9.</t>
  </si>
  <si>
    <t xml:space="preserve">Влажная протирка элементов лестничных клеток жилых домов с периодической сменой воды - стен, окрашенных масляной краской  (периодичность 1 раз в 3 месяца, 4 раза/в год)                                                                                                                                          </t>
  </si>
  <si>
    <t>1.10.</t>
  </si>
  <si>
    <t xml:space="preserve">Обметание пыли с потолков  (периодичность 1 раз/в год)                                                </t>
  </si>
  <si>
    <t>1.11.</t>
  </si>
  <si>
    <t xml:space="preserve">Влажная протирка элементов лестничных клеток жилых домов с периодической сменой воды - перил.  (периодичность 1 раз в 3 месяца, 4 раза/в год)                                                                                                                                         </t>
  </si>
  <si>
    <t>1.12.</t>
  </si>
  <si>
    <t>Уборка мусора и грязи с кровли (1 раз в год)</t>
  </si>
  <si>
    <t>1.13.</t>
  </si>
  <si>
    <r>
      <t>Уборка мусора с чердаков</t>
    </r>
    <r>
      <rPr>
        <b/>
        <sz val="10"/>
        <rFont val="Arial Cyr"/>
        <family val="0"/>
      </rPr>
      <t xml:space="preserve"> </t>
    </r>
  </si>
  <si>
    <t>1.14.</t>
  </si>
  <si>
    <t>Уборка мусора с подвалов</t>
  </si>
  <si>
    <t xml:space="preserve">Обеспечение санитарного состояния придомовой территории </t>
  </si>
  <si>
    <t>2.1.</t>
  </si>
  <si>
    <t>Подметание свежевыпавшего снега с территорий толщиной до 2 см, сгребание снега в валы или кучи (ч/з день,  62 раза/в год), с 01.11 по 31.03</t>
  </si>
  <si>
    <t>2.2.</t>
  </si>
  <si>
    <t>Траспортировка песка от места складирования до места посыпки (1 раз в день, 30 раз/в год, во время гололеда)</t>
  </si>
  <si>
    <t>2.3.</t>
  </si>
  <si>
    <t>Ликвидация наледи методом посыпки территории песком (1 раз в день, 30 раз/в год, во время гололеда)</t>
  </si>
  <si>
    <t>2.4.</t>
  </si>
  <si>
    <t>Сдвигание свежевыпавшего снега толщиной слоя более 2 см (1 раз в день,  62 раза/в год, в дни снегопада)</t>
  </si>
  <si>
    <t>2.5.</t>
  </si>
  <si>
    <t>Очистка контейнерной площадки в холодный период от снега и наледи (2 раза в день, 125 раз/в год), с 01.11 по 31.03</t>
  </si>
  <si>
    <t>2.6.</t>
  </si>
  <si>
    <t xml:space="preserve">Подметание территории в дни без снегопада                                                         </t>
  </si>
  <si>
    <t>2.7.</t>
  </si>
  <si>
    <t>Уборка газонов и придомовой территории от мусора (1 раз в 2 дня,  90 раз/в год), с 01.04 по 31.10</t>
  </si>
  <si>
    <t>2.8.</t>
  </si>
  <si>
    <t>Уборка контейнерных площадок от мусора (2 раза в день, 608 раз/в год)</t>
  </si>
  <si>
    <t>2.9.</t>
  </si>
  <si>
    <t>Вырезка сухих сучьев</t>
  </si>
  <si>
    <t>2.10.</t>
  </si>
  <si>
    <t xml:space="preserve">Полив газонов (2 раза в неделю, 16 раз/в год), с 15.06 по 15.08                                  </t>
  </si>
  <si>
    <t>2.11.</t>
  </si>
  <si>
    <t>Очистка урн от мусора (1 раз в день, 180 раз/в год), с 01.04 по 31.10</t>
  </si>
  <si>
    <t>2.12.</t>
  </si>
  <si>
    <t>Подметание территории (через день,  90 раз/в год ), с 01.04 по 31.10</t>
  </si>
  <si>
    <t>2.13.</t>
  </si>
  <si>
    <t>Покос травы (1 раз в год)</t>
  </si>
  <si>
    <t>Вывоз твердых бытовых отходов и крупногабаритного мусора</t>
  </si>
  <si>
    <t>Техобслуживание  конструктивных частей жилого дома</t>
  </si>
  <si>
    <t>Укрепление защитной решетки водоприемной воронки</t>
  </si>
  <si>
    <t>Прочистка водоприемной воронки внутреннего водостока</t>
  </si>
  <si>
    <t>Утепление  вентиляционных каналов</t>
  </si>
  <si>
    <t>Прочистка вентиляционных каналов</t>
  </si>
  <si>
    <t>Проверка исправности канализационных вытяжек</t>
  </si>
  <si>
    <t>Проверка наличии тяги в вентиляционных каналах</t>
  </si>
  <si>
    <t>Техническое обслуживание внутренних систем ТВС, ГВС, ХВС и канализации</t>
  </si>
  <si>
    <t>6.1.</t>
  </si>
  <si>
    <t>Центральное отопление</t>
  </si>
  <si>
    <t>6.1.1.</t>
  </si>
  <si>
    <t>Испытание трубопроводов системы центрального отопления</t>
  </si>
  <si>
    <t>6.1.1.1.</t>
  </si>
  <si>
    <t>Первое рабочее испытание отдельных частей системы отопления</t>
  </si>
  <si>
    <t>6.1.1.2.</t>
  </si>
  <si>
    <t>Рабочая проверка системы в целом</t>
  </si>
  <si>
    <t>6.1.1.3.</t>
  </si>
  <si>
    <t>Окончательная проверка при сдаче системы</t>
  </si>
  <si>
    <t>6.1.2.</t>
  </si>
  <si>
    <r>
      <t xml:space="preserve">Ликвидация воздушных пробок в системе отопления </t>
    </r>
    <r>
      <rPr>
        <b/>
        <sz val="10"/>
        <rFont val="Arial"/>
        <family val="2"/>
      </rPr>
      <t>в стояке</t>
    </r>
  </si>
  <si>
    <t>6.1.3.</t>
  </si>
  <si>
    <r>
      <t xml:space="preserve">Ликвидация воздушных пробок в системе отопления </t>
    </r>
    <r>
      <rPr>
        <b/>
        <sz val="10"/>
        <rFont val="Arial"/>
        <family val="2"/>
      </rPr>
      <t xml:space="preserve">в радиатор. блоке </t>
    </r>
  </si>
  <si>
    <t>6.1.4.</t>
  </si>
  <si>
    <t>Промывка трубопр-в системы центрального отопления</t>
  </si>
  <si>
    <t>6.1.5.</t>
  </si>
  <si>
    <t>Уплотнение сгонов с применением льняной пряди</t>
  </si>
  <si>
    <t>6.1.6.</t>
  </si>
  <si>
    <t>Осмотр системы центрального отопления</t>
  </si>
  <si>
    <t>6.1.6.1.</t>
  </si>
  <si>
    <t>внутриквартирные устройства</t>
  </si>
  <si>
    <t>6.1.6.2.</t>
  </si>
  <si>
    <t>устройства в подвальных помещениях</t>
  </si>
  <si>
    <t>6.2.</t>
  </si>
  <si>
    <t>Водопровод, канализация и горячее водоснабжение</t>
  </si>
  <si>
    <t>6.2.1.</t>
  </si>
  <si>
    <t xml:space="preserve">Осмотр водопровода, канализации и горячего водоснабжения </t>
  </si>
  <si>
    <t>6.2.2.</t>
  </si>
  <si>
    <t xml:space="preserve">Промывка трубопроводов системы ГВС и ХВС </t>
  </si>
  <si>
    <t>6.2.3.</t>
  </si>
  <si>
    <t xml:space="preserve">Подчеканка раструбов канализационных труб </t>
  </si>
  <si>
    <t>6.2.4.</t>
  </si>
  <si>
    <t xml:space="preserve">Устранение засоров внутренних канализационных трубопроводов </t>
  </si>
  <si>
    <t>Техническое обслуживание внутридомовых магистральных сетей</t>
  </si>
  <si>
    <t xml:space="preserve">  Аварийно-диспетчерское ослуживание: ликвидация аварийных ситуаций в местах общего пользования, с выполнением аварийно-востановительных работ и ликвидация аварийных ситуаций у собственника без выполнения ремонта</t>
  </si>
  <si>
    <t>Дератизация</t>
  </si>
  <si>
    <t>Техническое обслуживание внутренней системы электроснабжения и электротехнических устройств.</t>
  </si>
  <si>
    <t>Жилищно-эксплуатационное обслуживание ( в т.ч. паспортный стол)</t>
  </si>
  <si>
    <t>ИТОГО по содержанию жилищного фонда</t>
  </si>
  <si>
    <t>Текущий ремонт жилищного фонда</t>
  </si>
  <si>
    <t>Текущий ремонт фундаментов</t>
  </si>
  <si>
    <t>12.1.</t>
  </si>
  <si>
    <t>Восстановление поврежденных участков отмосток и входов в подвал</t>
  </si>
  <si>
    <t>12.1.1.</t>
  </si>
  <si>
    <t xml:space="preserve">Восстановление поврежденных участков отмосток </t>
  </si>
  <si>
    <t>Текущий ремонт стен и фасадов</t>
  </si>
  <si>
    <t>13.1.</t>
  </si>
  <si>
    <t>Ремонт и окраска фасадов</t>
  </si>
  <si>
    <t>13.1.1.</t>
  </si>
  <si>
    <t>Закладка кирпичем слуховых окон в цоколе</t>
  </si>
  <si>
    <t>13.1.2.</t>
  </si>
  <si>
    <t>Устранение разрушений стыковых соединений, фактурных слоев в цокольных частей зданий</t>
  </si>
  <si>
    <t>13.1.3.</t>
  </si>
  <si>
    <t>Окраска цоколя</t>
  </si>
  <si>
    <t>13.1.4.</t>
  </si>
  <si>
    <t>Ремонт входных групп</t>
  </si>
  <si>
    <t>13.1.5.</t>
  </si>
  <si>
    <t>Устройство козырька из проф.листа</t>
  </si>
  <si>
    <t>Текущий ремонт крыш</t>
  </si>
  <si>
    <t>14.2.</t>
  </si>
  <si>
    <t>Ремонт кровли, гидроизоляции, утепления и вентиляции</t>
  </si>
  <si>
    <t>14.2.1.</t>
  </si>
  <si>
    <t xml:space="preserve">Смена мягкой кровли в два слоя отдельными местами </t>
  </si>
  <si>
    <t>14.2.2.</t>
  </si>
  <si>
    <t xml:space="preserve">Постановка заплат на покрытия из мягкой кровли </t>
  </si>
  <si>
    <t>14.2.3.</t>
  </si>
  <si>
    <t>Замена канализационных вытяжных труб (на чердаке и кровли)</t>
  </si>
  <si>
    <t>15.</t>
  </si>
  <si>
    <t>Текущий ремонт оконных и дверных заполнений</t>
  </si>
  <si>
    <t>15.1.</t>
  </si>
  <si>
    <t xml:space="preserve">Ремонт оконных переплетов </t>
  </si>
  <si>
    <t>15.2.</t>
  </si>
  <si>
    <t xml:space="preserve">Ремонт дверных полотен </t>
  </si>
  <si>
    <t>15.3.</t>
  </si>
  <si>
    <t xml:space="preserve">Смена оконных и дверных петель </t>
  </si>
  <si>
    <t>15.4.</t>
  </si>
  <si>
    <t xml:space="preserve">Смена наличников оконных и дверных проемов </t>
  </si>
  <si>
    <t>15.5.</t>
  </si>
  <si>
    <t xml:space="preserve">Нашивка брусков на дверные коробки </t>
  </si>
  <si>
    <t>15.6.</t>
  </si>
  <si>
    <t xml:space="preserve">Укрепление оконных и дверных наличников </t>
  </si>
  <si>
    <t>15.7.</t>
  </si>
  <si>
    <t>Установка пружин на входные двери</t>
  </si>
  <si>
    <t>15.8.</t>
  </si>
  <si>
    <t>Установка ручек на входные двери</t>
  </si>
  <si>
    <t>15.9.</t>
  </si>
  <si>
    <t>Уплотнение входных металлических дверей войлоком</t>
  </si>
  <si>
    <t>15.10.</t>
  </si>
  <si>
    <t>Остекление оконных блоков мест общего пользования</t>
  </si>
  <si>
    <t>15.11.</t>
  </si>
  <si>
    <t>Окраска подъездных дверей, лавочек, урн, контейнеров</t>
  </si>
  <si>
    <t>16.</t>
  </si>
  <si>
    <t>Текущий ремонт лестниц, крылец (зонты-козырьки) над входами в подъезды.</t>
  </si>
  <si>
    <t>16.1.</t>
  </si>
  <si>
    <t xml:space="preserve">Смена отдельных частей поручней </t>
  </si>
  <si>
    <t>16.2.</t>
  </si>
  <si>
    <t xml:space="preserve">Изготовление поручня </t>
  </si>
  <si>
    <t>17.</t>
  </si>
  <si>
    <t>Текущий ремонт полов</t>
  </si>
  <si>
    <t>17.1.</t>
  </si>
  <si>
    <t xml:space="preserve">Заделка выбоин в цементных полах </t>
  </si>
  <si>
    <t>Внешнее благоустройство</t>
  </si>
  <si>
    <t>18.1.</t>
  </si>
  <si>
    <t>Ремонт и восстановление разрушенных участков тротуаров, проездов, дорожек</t>
  </si>
  <si>
    <t>18.1.1.</t>
  </si>
  <si>
    <t xml:space="preserve">Текущий ремонт лавочек </t>
  </si>
  <si>
    <t>18.1.2.</t>
  </si>
  <si>
    <t>Текущий ремонт и урн</t>
  </si>
  <si>
    <t>18.1.3.</t>
  </si>
  <si>
    <t>Устройства ограждения контейнерной площадки из кирпича</t>
  </si>
  <si>
    <t>18.2.</t>
  </si>
  <si>
    <t>Озеленение придомовой территории</t>
  </si>
  <si>
    <t>18.2.1.</t>
  </si>
  <si>
    <t>Замена деревьев и кустов</t>
  </si>
  <si>
    <t>ИТОГО по текущему ремонту конструктивных частей жилого дома и объектов внешнего благоустройства</t>
  </si>
  <si>
    <t>19.</t>
  </si>
  <si>
    <t>Текущий ремонт внутренней системы ТВС, ХВС, ГВС и канализации</t>
  </si>
  <si>
    <t>19.1.</t>
  </si>
  <si>
    <t>Замена вентилей диам. 15 мм.</t>
  </si>
  <si>
    <t>19.2.</t>
  </si>
  <si>
    <t>Замена вентилей диам. 20 мм.</t>
  </si>
  <si>
    <t>19.3.</t>
  </si>
  <si>
    <t>Замена вентилей диам. 25 мм.</t>
  </si>
  <si>
    <t>19.4.</t>
  </si>
  <si>
    <t>Замена вентилей диам. 32 мм.</t>
  </si>
  <si>
    <t>19.5.</t>
  </si>
  <si>
    <t xml:space="preserve">Замена участков трубопроводов из стальных электросварных труб диам.15 мм. </t>
  </si>
  <si>
    <t>19.6.</t>
  </si>
  <si>
    <t>Замена участков трубопроводов из стальных электросварных труб диам.20 мм.</t>
  </si>
  <si>
    <t>19.7.</t>
  </si>
  <si>
    <t>Замена участков трубопроводов из стальных электросварных труб диам.25 мм.</t>
  </si>
  <si>
    <t>19.8.</t>
  </si>
  <si>
    <t>Замена участков трубопроводов из стальных электросварных труб.32 мм.</t>
  </si>
  <si>
    <t>19.9.</t>
  </si>
  <si>
    <t>Замена участков трубопроводов из стальных электросварных труб диам.57 мм.</t>
  </si>
  <si>
    <t>19.10.</t>
  </si>
  <si>
    <t xml:space="preserve">Смена отдельных участков внутренних канализационных выпусков диам. 50мм </t>
  </si>
  <si>
    <t>19.11.</t>
  </si>
  <si>
    <t xml:space="preserve">Смена отдельных участков внутренних канализационных выпусков диам. 100мм </t>
  </si>
  <si>
    <t>19.12.</t>
  </si>
  <si>
    <t xml:space="preserve">Переборка секций радиаторного блока </t>
  </si>
  <si>
    <t>19.13.</t>
  </si>
  <si>
    <t>Смена запорной арматуры Ду=50мм</t>
  </si>
  <si>
    <t>19.14.</t>
  </si>
  <si>
    <t xml:space="preserve">Заделка стыков соединений стояков внутренних водостоков </t>
  </si>
  <si>
    <t>19.15.</t>
  </si>
  <si>
    <t>Регулировка системы отопления</t>
  </si>
  <si>
    <t>20.</t>
  </si>
  <si>
    <t xml:space="preserve">Текущий ремонт внутридомовых сетей  ХВС и ГВС. (6 подъездов)                                       </t>
  </si>
  <si>
    <t>ИТОГО по текущему ремонту внутридомовых сетей ТВС, ГВС, ХВС и канализации</t>
  </si>
  <si>
    <t>ИТОГО по текущему ремонту жилищного фонда</t>
  </si>
  <si>
    <t>ВСЕГО по техническому обслуживанию и текущему ремонту жилищного фонда</t>
  </si>
  <si>
    <t>жилого дома № _____ по улице __________________ р.п.Мошково</t>
  </si>
  <si>
    <t xml:space="preserve"> по техническому  обслуживанию, санитарному содержанию и текущему ремонту.</t>
  </si>
  <si>
    <t>Перечень  выполненых работ в июне месяце 2011 года по техническому</t>
  </si>
  <si>
    <t>4.</t>
  </si>
  <si>
    <t>4.1.</t>
  </si>
  <si>
    <t>4.2.</t>
  </si>
  <si>
    <t>4.3.</t>
  </si>
  <si>
    <t>4.4.</t>
  </si>
  <si>
    <t>4.5.</t>
  </si>
  <si>
    <t>4.6.</t>
  </si>
  <si>
    <t>отметка о выполнении</t>
  </si>
  <si>
    <t>Техническое обслуживание жилого дома</t>
  </si>
  <si>
    <t>АКТ ПРИЕМКИ</t>
  </si>
  <si>
    <t>испонитель</t>
  </si>
  <si>
    <t>количество часов</t>
  </si>
  <si>
    <t>СДАЛ                                              Мастер  ООО "МУК"</t>
  </si>
  <si>
    <t xml:space="preserve">ПРИНЯЛ                                          Старший по дому </t>
  </si>
  <si>
    <t>Шипчин</t>
  </si>
  <si>
    <r>
      <t>Уборка мусора с чердаков</t>
    </r>
    <r>
      <rPr>
        <b/>
        <sz val="11"/>
        <color indexed="10"/>
        <rFont val="Arial Cyr"/>
        <family val="0"/>
      </rPr>
      <t xml:space="preserve"> </t>
    </r>
  </si>
  <si>
    <r>
      <t xml:space="preserve">Ликвидация воздушных пробок в системе отопления </t>
    </r>
    <r>
      <rPr>
        <b/>
        <sz val="11"/>
        <color indexed="10"/>
        <rFont val="Arial"/>
        <family val="2"/>
      </rPr>
      <t>в стояке</t>
    </r>
  </si>
  <si>
    <r>
      <t xml:space="preserve">Ликвидация воздушных пробок в системе отопления </t>
    </r>
    <r>
      <rPr>
        <b/>
        <sz val="11"/>
        <color indexed="10"/>
        <rFont val="Arial"/>
        <family val="2"/>
      </rPr>
      <t xml:space="preserve">в радиатор. блоке </t>
    </r>
  </si>
  <si>
    <t>23.09.восстановление освещения в 2 подъезде</t>
  </si>
  <si>
    <t>исполнитель</t>
  </si>
  <si>
    <t>выполненных работ по управлению и обслуживанию ООО "МУК"  жилого дома   № 2</t>
  </si>
  <si>
    <t>выполненных работ по управлению и обслуживанию ООО "МУК"  жилого дома   № 1</t>
  </si>
  <si>
    <t>Ерюков</t>
  </si>
  <si>
    <t>выполненных работ по управлению и обслуживанию ООО "МУК"  жилого дома   № 4а</t>
  </si>
  <si>
    <t>выполненных работ по управлению и обслуживанию ООО "МУК"  жилого дома   № 11а</t>
  </si>
  <si>
    <t>выполненных работ по управлению и обслуживанию ООО "МУК"  жилого дома   № 7 а</t>
  </si>
  <si>
    <t>выполненных работ по управлению и обслуживанию ООО "МУК"  жилого дома   № 6 а</t>
  </si>
  <si>
    <t>выполненных работ по управлению и обслуживанию ООО "МУК"  жилого дома   № 2а</t>
  </si>
  <si>
    <t>05.09. замена лампочек, ревизия эл.щитков</t>
  </si>
  <si>
    <t>выполненных работ по управлению и обслуживанию ООО "МУК"  жилого дома   № 9а</t>
  </si>
  <si>
    <t>05.09.ревизия эл.щита в подъезде</t>
  </si>
  <si>
    <t>выполненных работ по управлению и обслуживанию ООО "МУК"  жилого дома   № 3а</t>
  </si>
  <si>
    <t>выполненных работ по управлению и обслуживанию ООО "МУК"  жилого дома   № 5а</t>
  </si>
  <si>
    <t>06.09.заявка кв 7, никого нет дома</t>
  </si>
  <si>
    <t>выполненных работ по управлению и обслуживанию ООО "МУК"  жилого дома   № 24а</t>
  </si>
  <si>
    <t>08.09.ревизия эл.щита в подъезде</t>
  </si>
  <si>
    <t>выполненных работ по управлению и обслуживанию ООО "МУК"  жилого дома   № 14</t>
  </si>
  <si>
    <t>09.09. кв.9 замена лампочек</t>
  </si>
  <si>
    <t>09.09. осмотр эл.щита на замыкание заявка кв 36</t>
  </si>
  <si>
    <t>выполненных работ по управлению и обслуживанию ООО "МУК"  жилого дома   № 4б</t>
  </si>
  <si>
    <t>14.09. замена эл.лампочек</t>
  </si>
  <si>
    <t>выполненных работ по управлению и обслуживанию ООО "МУК"  жилого дома   № 3б</t>
  </si>
  <si>
    <t>выполненных работ по управлению и обслуживанию ООО "МУК"  жилого дома   № 30 а</t>
  </si>
  <si>
    <t>выполненных работ по управлению и обслуживанию ООО "МУК"  жилого дома   № 28а</t>
  </si>
  <si>
    <t>19.09. включение автоматов (пакетники), проверка</t>
  </si>
  <si>
    <t>21.09. замена выключателя</t>
  </si>
  <si>
    <t>выполненных работ по управлению и обслуживанию ООО "МУК"  жилого дома   № 6</t>
  </si>
  <si>
    <t>27.09.замена эл.лампочек (кв3)</t>
  </si>
  <si>
    <t>27.09. ревизия эл.выключателя (кв48)</t>
  </si>
  <si>
    <t>27.09. замена автомата (кв30)</t>
  </si>
  <si>
    <t>27.09. кв 13 по заявке осмотрено</t>
  </si>
  <si>
    <t>27.09. замена лампочек (кв3)</t>
  </si>
  <si>
    <t>28.09.замена эл.лампочек (кв15)</t>
  </si>
  <si>
    <t>28.09. ревизия эл.выключателя (кв23)</t>
  </si>
  <si>
    <t>29.09. замена эл.лампочек над подъездами и в подъездах (2,3 под)</t>
  </si>
  <si>
    <t>29.09. замена эл.патрона, лампочек (кв14)</t>
  </si>
  <si>
    <t>29.09. замена эл.лампочек (кв9)</t>
  </si>
  <si>
    <t>29.09. замена эл.лампочек (кв31)</t>
  </si>
  <si>
    <t>Ерлин</t>
  </si>
  <si>
    <t xml:space="preserve">01.09.Уборка мусора и грязи с кровли </t>
  </si>
  <si>
    <t>02.09.Уборка мусора с подвала</t>
  </si>
  <si>
    <t>выполненных работ по управлению и обслуживанию ООО "МУК"  жилого дома   № 17а</t>
  </si>
  <si>
    <t>02.09.Осмотр устройств в подвальных помещениях</t>
  </si>
  <si>
    <t>02.09. Осмотр системы центрального отопления</t>
  </si>
  <si>
    <t xml:space="preserve">отопление </t>
  </si>
  <si>
    <t>выполненных работ по управлению и обслуживанию ООО "МУК"  жилого дома   № 18</t>
  </si>
  <si>
    <t xml:space="preserve">08.09.Устранение засоров внутренних канализационных трубопроводов </t>
  </si>
  <si>
    <t>выполненных работ по управлению и обслуживанию ООО "МУК"  жилого дома   № 20</t>
  </si>
  <si>
    <t>12.09. подготовка труб для отопления (резка)</t>
  </si>
  <si>
    <t>12.09.Устранение засоров  канализационных трубопроводов до колодца</t>
  </si>
  <si>
    <t>12.09.Осмотр системы центрального отопления в подвале</t>
  </si>
  <si>
    <t>13.09. разноска труб по подвалу</t>
  </si>
  <si>
    <t xml:space="preserve">15.09.Устранение засоров  канализационных трубопроводов </t>
  </si>
  <si>
    <t xml:space="preserve">16.09.Устранение засоров внутренних канализационных трубопроводов </t>
  </si>
  <si>
    <t>21.09.работа по отплению в подвале</t>
  </si>
  <si>
    <t>26.09. Подчеканка раструбов канализационных труб в подвале</t>
  </si>
  <si>
    <t>27.09.Устранение засоров  канализационных трубопроводов в подвале</t>
  </si>
  <si>
    <t xml:space="preserve">27.09.Устранение засоров  канализационных трубопроводов </t>
  </si>
  <si>
    <t>28.09.осмотр водопровода на отсутствие воды кв 6 по заявке</t>
  </si>
  <si>
    <t>28.09.Осмотр системы центрального отопления в подвале</t>
  </si>
  <si>
    <t>29.09.Осмотр водопроводной трубы по квартире по заявке кв 2</t>
  </si>
  <si>
    <t>29.09. осмотр унитаза на работоспособность  кв.24</t>
  </si>
  <si>
    <t>29.09. устранение течи на батареи кв.48</t>
  </si>
  <si>
    <t>Сидоренков</t>
  </si>
  <si>
    <t>Мозгов</t>
  </si>
  <si>
    <t xml:space="preserve">Уборка контейнерных площадок от мусора </t>
  </si>
  <si>
    <t xml:space="preserve">  Аварийно-диспетчерское ослуживание: </t>
  </si>
  <si>
    <t>01.09. замена трубопроводов отпления</t>
  </si>
  <si>
    <t>Сауков</t>
  </si>
  <si>
    <t>02.09.работа с отоплением в подвале</t>
  </si>
  <si>
    <t>05.09.установка задвижек на лежаке</t>
  </si>
  <si>
    <t>06.09. сварочные работы по отоплению в подвале</t>
  </si>
  <si>
    <t>07.09. сварочные работы по отоплению в подвале</t>
  </si>
  <si>
    <t>08.09. сварочные работы по отоплению в подвале</t>
  </si>
  <si>
    <t>09.09. сварочные работы по отоплению в подвале</t>
  </si>
  <si>
    <t>12.09. сварочные работы по отоплению в подвале</t>
  </si>
  <si>
    <t>13.09. сварочные работы по отоплению в подвале</t>
  </si>
  <si>
    <t>14.09. сварочные работы по отоплению в подвале</t>
  </si>
  <si>
    <t>16.09. сварочные работы по отоплению в подвале</t>
  </si>
  <si>
    <t>19.09. сварочные работы по отоплению в подвале</t>
  </si>
  <si>
    <t>20.09. сварочные работы по отоплению в подвале</t>
  </si>
  <si>
    <t>21.09. устранение течи батареи кв 1</t>
  </si>
  <si>
    <t>выполненных работ по управлению и обслуживанию ООО "МУК"  жилого дома   № 16</t>
  </si>
  <si>
    <t>21.09.замена трубы отопления кв 4,3</t>
  </si>
  <si>
    <t>26.09.запуск отопления</t>
  </si>
  <si>
    <t>сауков</t>
  </si>
  <si>
    <t>26.09. запуск отопления</t>
  </si>
  <si>
    <t>Конюшенко</t>
  </si>
  <si>
    <t>01.09. удаление труб отопления</t>
  </si>
  <si>
    <t xml:space="preserve"> 05.09.разноска труб, установка задвижек, откачка воды </t>
  </si>
  <si>
    <t>06.09. осмотр протекания крыши над кв.16</t>
  </si>
  <si>
    <t>06.09.подготовка теплосетей для промывки системы отопления</t>
  </si>
  <si>
    <t xml:space="preserve">07.09. ревизия запорной арматуры теплоснабжения </t>
  </si>
  <si>
    <t>07.09.замена коньков на крыше</t>
  </si>
  <si>
    <t xml:space="preserve">09.09. замена коньков на крыше </t>
  </si>
  <si>
    <t>09.09.замена коньков на крыше</t>
  </si>
  <si>
    <t>15.09.замена шифера на крыше</t>
  </si>
  <si>
    <t>15.09. восстановление теплового узла у дома</t>
  </si>
  <si>
    <t>16.09. замена коньков на крыше</t>
  </si>
  <si>
    <t>19.09.замена коньков на крыше</t>
  </si>
  <si>
    <t>28.09. погрузо-разгрузочные работы</t>
  </si>
  <si>
    <t>Христофоров</t>
  </si>
  <si>
    <t>02.09.закрытие задвижек сети отопления на дом</t>
  </si>
  <si>
    <t>02.09. закрытие задвижек сети отопления на дом</t>
  </si>
  <si>
    <t>06.09.пробивка канализационного стояка кв 21</t>
  </si>
  <si>
    <t>Конюшенко, Христофоров</t>
  </si>
  <si>
    <t>Ерлин, Христофоров</t>
  </si>
  <si>
    <t>21.09. ремонт коньков на крыше</t>
  </si>
  <si>
    <t>21.09.ремонт коньков на крыше</t>
  </si>
  <si>
    <t>23.09.замена водопровода по квартире 30, 51</t>
  </si>
  <si>
    <t>23.09. пробивка кан.стояка в квартире 60</t>
  </si>
  <si>
    <t>23.09.дератизация</t>
  </si>
  <si>
    <t>26.09. замена кранов на стояке хвс  кв 25</t>
  </si>
  <si>
    <t>26.09. пробивка канализации в подвале</t>
  </si>
  <si>
    <t>26.09. запуск отопления, открытие стояков, устранение течи на сборках</t>
  </si>
  <si>
    <t>30.09. устранение течи на кран-буксах</t>
  </si>
  <si>
    <t>Конюшенко, Музыченко</t>
  </si>
  <si>
    <t>Сауков, Музыченко</t>
  </si>
  <si>
    <t>Христофоров, Музыченко</t>
  </si>
  <si>
    <t>Музыченко</t>
  </si>
  <si>
    <t>Конюшенко, Музыченеко</t>
  </si>
  <si>
    <t>Конюшенко, Христофоров, Музыченко</t>
  </si>
  <si>
    <t>Ерлин,Конюшенко, Музыченко</t>
  </si>
  <si>
    <t>14.09.устранение течи крана кв 35</t>
  </si>
  <si>
    <t>19.09. завозка материалов для ремонта подъезда</t>
  </si>
  <si>
    <t>23.09. работы по отоплению</t>
  </si>
  <si>
    <t>26.09. работы по отоплению</t>
  </si>
  <si>
    <t>27.09. работы по отоплению</t>
  </si>
  <si>
    <t>Христофоров, Крупич</t>
  </si>
  <si>
    <t>Крупич</t>
  </si>
  <si>
    <t>Сауков, Крупич</t>
  </si>
  <si>
    <t>Конюшенко, Крупич</t>
  </si>
  <si>
    <t>08.09. вскратие кан.стояка и разводки по квар, обслед по квартире 6</t>
  </si>
  <si>
    <t>15.09.работа со стояками кан и водопров в подвале  и кв6</t>
  </si>
  <si>
    <t>Христофоров,Крупич</t>
  </si>
  <si>
    <t>15.09. работа в подвале по отоплению</t>
  </si>
  <si>
    <t>Сауков, христофоров,Крупич</t>
  </si>
  <si>
    <t>Ерлин, Овсянников</t>
  </si>
  <si>
    <t>06.09. установка сборок , забивка арматуры под трубы</t>
  </si>
  <si>
    <t>Сауков,Крупич, Овсянников</t>
  </si>
  <si>
    <t>Сауков, Овсянников</t>
  </si>
  <si>
    <t>Ерлин, Конюшенко, Христофоров, Крупич, Овсянников</t>
  </si>
  <si>
    <t>Сауков, Крупич, Овсянников</t>
  </si>
  <si>
    <t>Конюшенко, Музыченко, Овсянников</t>
  </si>
  <si>
    <t>Крупич, Овсянников</t>
  </si>
  <si>
    <t>Сауков, Музыченко, Овсянников</t>
  </si>
  <si>
    <t>Конюшенко, Христофоров, Овсянников</t>
  </si>
  <si>
    <t>Христофоров, Музыченко, Овсянников</t>
  </si>
  <si>
    <t>22.09. работа со сборками по отоплению</t>
  </si>
  <si>
    <t>Овсянников</t>
  </si>
  <si>
    <t>23.09.осмотр чердаков на предмет сборок на отопление</t>
  </si>
  <si>
    <t>выполненных работ по управлению и обслуживанию ООО "МУК"  жилого дома   № 4</t>
  </si>
  <si>
    <t>23.09.замена кранов</t>
  </si>
  <si>
    <t>Музыченко, Овсянников</t>
  </si>
  <si>
    <t>Конюшенко, Музыченко,Денисов</t>
  </si>
  <si>
    <t>Сауков, Музыченко, Денисов</t>
  </si>
  <si>
    <t>Ерлин, Конюшенко, Крупич, Овсянников, Денисов</t>
  </si>
  <si>
    <t>Сауков, христофоров, Музыченко, Овсянников,Денисов</t>
  </si>
  <si>
    <t>Сауков, Крупич, Денисов</t>
  </si>
  <si>
    <t>Денисов</t>
  </si>
  <si>
    <t>Христофоров, Денисов</t>
  </si>
  <si>
    <t>Музыченко. Денисов</t>
  </si>
  <si>
    <t>29.09. замена водопроводного стояка , очистка труб от ржавщины</t>
  </si>
  <si>
    <t>30.09.осмотр канал стояка кв 120</t>
  </si>
  <si>
    <t>30.09.запуск отопления</t>
  </si>
  <si>
    <t>выполненных работ по управлению и обслуживанию ООО "МУК"  жилого дома   №  15</t>
  </si>
  <si>
    <t>10                6</t>
  </si>
  <si>
    <t>выезд по заявке                   выполнено заявок</t>
  </si>
  <si>
    <t>Вывоз жидких бытовых отходов</t>
  </si>
  <si>
    <t xml:space="preserve">Жилищно-эксплуатационное обслуживание </t>
  </si>
  <si>
    <t>осмотр по заявкам                                                                   выполнено заявок</t>
  </si>
  <si>
    <t>6                      2</t>
  </si>
  <si>
    <t>12                10</t>
  </si>
  <si>
    <t>9                 6</t>
  </si>
  <si>
    <t>4                 4</t>
  </si>
  <si>
    <t>3                 3</t>
  </si>
  <si>
    <t>выезд по заявке                                                    выполнено заявок</t>
  </si>
  <si>
    <t>2                 1</t>
  </si>
  <si>
    <t>1                 1</t>
  </si>
  <si>
    <t>осмотр по заявке                                                    выполнено заявок</t>
  </si>
  <si>
    <t>8                 8</t>
  </si>
  <si>
    <t>10                 10</t>
  </si>
  <si>
    <t>28                27</t>
  </si>
  <si>
    <t>осмотр по заявке           выполнено заявок</t>
  </si>
  <si>
    <t>9                8</t>
  </si>
  <si>
    <t>16                16</t>
  </si>
  <si>
    <t>18                16</t>
  </si>
  <si>
    <t>19                17</t>
  </si>
  <si>
    <t>Денисов, Конюшенко</t>
  </si>
  <si>
    <t>02.11.Утепление подвальных окон</t>
  </si>
  <si>
    <t>Конюшенко, Ставицкий</t>
  </si>
  <si>
    <t>02.11.Заявка 2695. Ремонт полов</t>
  </si>
  <si>
    <t>Конюшенко, Овсянников</t>
  </si>
  <si>
    <t>03.11. заявка 2822 кв.4, осмотр приборов отопления, перепуск стояков</t>
  </si>
  <si>
    <t>03.11. заявка 2829, осмотр канализации, пробивка сетей кнализации в подвале</t>
  </si>
  <si>
    <t>Овсянников, конюшенко</t>
  </si>
  <si>
    <t>Конюшенко                            Ставицкий</t>
  </si>
  <si>
    <t xml:space="preserve">08.11. по заявке 2948 кв.8 . нет тепла. Замена кранов на сборках, перезапуск системы отопления всего дома </t>
  </si>
  <si>
    <t xml:space="preserve">08.11. по заявкам 2961,2845, замена выключателей.ревизия электрощита </t>
  </si>
  <si>
    <t>09.11. Утепление отопления на чердаке, закрытие люков</t>
  </si>
  <si>
    <t>Конюшенко, Овсянников, Христофоров</t>
  </si>
  <si>
    <t>09.11. установка спускника</t>
  </si>
  <si>
    <t xml:space="preserve">Конюшенко, Овсянников                           </t>
  </si>
  <si>
    <t>10.11. заявки 2883, 2887. Замена лампочек, ремонт патрона</t>
  </si>
  <si>
    <t>10.11.Утепление подвальных окон</t>
  </si>
  <si>
    <t>ФИО</t>
  </si>
  <si>
    <t>Денисов, Христофоров</t>
  </si>
  <si>
    <t>14.11.Заявка 2931 кв16.Запах канализации, осмотр, пробивка сетей канализации</t>
  </si>
  <si>
    <t>14.11.Заявка 2938 кв 10.Осмотр, пробивка канализации, установка заглушки</t>
  </si>
  <si>
    <t>Крупия, Овсянников</t>
  </si>
  <si>
    <t>11.11. Утепление окон по чердаку</t>
  </si>
  <si>
    <t>14.11. заявка 2882 кв2. Замена эл.лампочек 6 шт.Осмотр эл.щитов</t>
  </si>
  <si>
    <t>15.11.Закрытие задвижек теплоснабжения на дома всвязи с аврией на центр.сет</t>
  </si>
  <si>
    <t>Денисов, Крупич, Ерлин</t>
  </si>
  <si>
    <t>15.11.Открытие задвижек на дома после устранения аварии</t>
  </si>
  <si>
    <t>15.11.Осмотр инж.сетей, долив масла в колбы термометров</t>
  </si>
  <si>
    <t>выполненных работ по управлению и обслуживанию ООО "МУК"  жилого дома   № 11 а</t>
  </si>
  <si>
    <t>15.11.Осмотр эл.щитов</t>
  </si>
  <si>
    <t>выполненных работ по управлению и обслуживанию ООО "МУК"  жилого дома   № 19а</t>
  </si>
  <si>
    <t>16.11.Осмотр подвала, выявлена течь на сетях отопления, устранено</t>
  </si>
  <si>
    <t>Ерлин, Денисов</t>
  </si>
  <si>
    <t>16.11.Заявка 2959 кв 42. Шум в батареях. Осмотр сетей, утечек не выявлено</t>
  </si>
  <si>
    <t>Христофоров, Ерлин</t>
  </si>
  <si>
    <t>16.11.к321-322. нет воды.Осмотр, прочистка гибкой подводки</t>
  </si>
  <si>
    <t>16.11.Заявка 2948 к 534.Холодные батареи. Перепуск стояка отопления</t>
  </si>
  <si>
    <t>16.11.Замена разбитых стекл</t>
  </si>
  <si>
    <t>Христофоров, Ерюков, Ерлин</t>
  </si>
  <si>
    <t>Денисов, Музыченко</t>
  </si>
  <si>
    <t>16.11.Заявка 2937 .Замена лампочки при входе в подъезд</t>
  </si>
  <si>
    <t>17.11.заявка 2965, 2966, ком228, 336. Перепуск стояков</t>
  </si>
  <si>
    <t>Музыченко, Христофоров</t>
  </si>
  <si>
    <t>17.11.Заявка 2971 кв 24. Холодно. Осмотр системы отопления, дом не перепускается, требуется замена отопительных приборов</t>
  </si>
  <si>
    <t xml:space="preserve">17.11.Замена одного стекла, ремонт рамы </t>
  </si>
  <si>
    <t>17.11.Осмотр подъездов, подвалов. Снятие размеров для остекления</t>
  </si>
  <si>
    <t>17.11. Ремонт рам, снятие размеров для остекления</t>
  </si>
  <si>
    <t xml:space="preserve">Христофоров </t>
  </si>
  <si>
    <t>17.11.кв 1. нет хвс.Осмотр, необходимо заменить стояк, запланировано на 22.11.</t>
  </si>
  <si>
    <t>17.11.осмотр элщитов, проверка освещения</t>
  </si>
  <si>
    <t>17.11.Заявка 2981 кв 1. Засор канализации.Пробивка центр.стояка</t>
  </si>
  <si>
    <t>18.11.Заявка 2985 кв1. Течь кан. в подвале. Установка заглушек на ревизии 2 шт, осмотр сетей канализации</t>
  </si>
  <si>
    <t>Крупич, Христофоров</t>
  </si>
  <si>
    <t>18.11.Заявка 2984. Течь стояка отопления. Нарезка резьбы на спускнике отопления, установлен кран на 15. Подготовка подвальных дверей.</t>
  </si>
  <si>
    <t>18.11.Осмотр внутридомовых инженерных сетей, осмотр смотровых колодцев</t>
  </si>
  <si>
    <t>Крупич, Христофоров, Денисов, Музыченко</t>
  </si>
  <si>
    <t>Музыченко,Сауков</t>
  </si>
  <si>
    <t>21.11.Заявка 3004 к.213-216. Плохой напор воды, Осмотр, прочистка</t>
  </si>
  <si>
    <t xml:space="preserve">Денисов, </t>
  </si>
  <si>
    <t>21.11.Заявка 3007 213-216. Засор унитаза, прочистка унитаза</t>
  </si>
  <si>
    <t>21.11.заявка 3012 кв 11. Холодные батареи. Проведено обследование, стояки горячие, в систему отопления на кухне врезан кран, после закрытия стали прогреваться батареи. Осмотрены стояки в подвале</t>
  </si>
  <si>
    <t>21.11.Установка светильника "кобра" наружнего освещения, Осмотр освещения подъездов</t>
  </si>
  <si>
    <t>21.11.Осмотр системы отпления, канализации, водоснабжения</t>
  </si>
  <si>
    <t>22.11.заявка 2995 к.519. Замена кан.стояка 2 м</t>
  </si>
  <si>
    <t>Ерлин, Христофоров, Музыченко</t>
  </si>
  <si>
    <t>22.11.Осмотр инженерных сетей в подвале</t>
  </si>
  <si>
    <t>22.11.Заявка 3016, кв 76. Холодные батареи. Произведен осмотр отоп.приборов и стояков, перепуск стояков</t>
  </si>
  <si>
    <t>22.11.заявка 3005 к 214. Осмотр, сняты размеры для ремонта дверей.</t>
  </si>
  <si>
    <t xml:space="preserve">Христофоров, </t>
  </si>
  <si>
    <t>22.11.Заявка 2802. кв 7.Нет воды в анной.Проведен осмотр сетей под полом и сетей проходящих через квартиру</t>
  </si>
  <si>
    <t>Музыченко, Сауков</t>
  </si>
  <si>
    <t>23.11.Заявка 3034 кв.80. Остановка стояка, смена кран-буксы</t>
  </si>
  <si>
    <t>23.11.Заявка 3036 кв2. Осмотр, собственнику необходмино приобрести тройник для соединения с гибкой подводкой к унитазу</t>
  </si>
  <si>
    <t>23.11.Заявка 3037 кв 2. Прочистка 3 м канализации внутри квартиры</t>
  </si>
  <si>
    <t xml:space="preserve">23.11.Заявка 3021 кв.7.Замена крана на стояке, замена 2х м водопровода в квартире </t>
  </si>
  <si>
    <t>Музыченко, Денисов</t>
  </si>
  <si>
    <t>23.11.Заявка 3039. кв 108. Перезапущены стояки в 20-30, после остановки котельной 23.11.</t>
  </si>
  <si>
    <t>Христофоров, Матузов</t>
  </si>
  <si>
    <t>23.11.Заявка 3036 кв 19-20. Ремонт патронов, замена 4 эл.ламп</t>
  </si>
  <si>
    <t>23.11. Плановый осмотр элщитов 2,3 эт</t>
  </si>
  <si>
    <t>24.11.Плановый осмотр, протяжка контактов, общедомовых щитов, этажных и общедомового щита</t>
  </si>
  <si>
    <t>24.11.Плановый осмотр элпроводки и освещения на этажах</t>
  </si>
  <si>
    <t>23.11.Заявка 3043 кв 87. Установлен кран д15, перезапущен стояк</t>
  </si>
  <si>
    <t>23.11. Заявка 3044, кв 2. Проведена ревизия крана на стояке.</t>
  </si>
  <si>
    <t>23.11. Заявка 3045  к416. Обследовано, стояк и отоп.приборы горячие</t>
  </si>
  <si>
    <t>23.11.Заявка 3022 кв1.Выполнены сварочные работы по ремонту стояка</t>
  </si>
  <si>
    <t>24.11.Заявка 3003, остеклениеи оконных проемв ( 6проемов)</t>
  </si>
  <si>
    <t>Музыченко, Ерлин</t>
  </si>
  <si>
    <t>24.11.Осмотр подвалов</t>
  </si>
  <si>
    <t>Ерлин, Сауков, Христофоров</t>
  </si>
  <si>
    <t>25.11.Заявка 3048 к 314. Осмотр, огорел провод в распед коробке</t>
  </si>
  <si>
    <t>25.11.Заявка к 527-528. Осмотр патрона, выключателя, замена эл.лампочки</t>
  </si>
  <si>
    <t>25.11.Заявка к 535. Искрит счетчик. Осмотр эл.проводки, устранение неисправности</t>
  </si>
  <si>
    <t>25.11. Осмотр освещения правого крыла</t>
  </si>
  <si>
    <t>25.11.Осмотр подвалов, закрытие подвалов</t>
  </si>
  <si>
    <t>21.11.Осмотр системы отопления, канализации, водоснабжения</t>
  </si>
  <si>
    <t>25.11.Осмотр системы отопления</t>
  </si>
  <si>
    <t>Денисов , Христофоров</t>
  </si>
  <si>
    <t>25.11.Осмотр канализационных сетей, смотровых колодцев</t>
  </si>
  <si>
    <t>Сауков, Музыченко, Ерлин</t>
  </si>
  <si>
    <t>25.11.Заявка к 301. Прочистка унитаза</t>
  </si>
  <si>
    <t>сумма (руб)</t>
  </si>
  <si>
    <t>сумма (руб0</t>
  </si>
  <si>
    <t>сумма  (руб)</t>
  </si>
  <si>
    <t xml:space="preserve"> сумма (руб)</t>
  </si>
  <si>
    <t>28.11.Заявка 3061. Забита канализация, прочистка канализации</t>
  </si>
  <si>
    <t>28.11.Соцзащита, замена клапана</t>
  </si>
  <si>
    <t>Еолин</t>
  </si>
  <si>
    <t>28.11.Заявка 3059 кв31. Осмотрены стояки в подвале, осмотр в квартире</t>
  </si>
  <si>
    <t>29.11.Осмотр промежуточных колодцев, осмотр подвала</t>
  </si>
  <si>
    <t>29.11.Пробивка канализации с промежуточного до основной ямы, осмотр подвала</t>
  </si>
  <si>
    <t>28.11.Заявка 3062 кв13. Осмотр, выгребная полная, промежуточные полные</t>
  </si>
  <si>
    <t>28.11 Осмотр, выгребная полная, промежуточные полные (повторно)</t>
  </si>
  <si>
    <t xml:space="preserve">28.11.Утепление окон (вентиляция) </t>
  </si>
  <si>
    <t>29.11.Закрытие люков на крыше</t>
  </si>
  <si>
    <t>29.11.Нет воды в душевой. Прокладка труб в душевую</t>
  </si>
  <si>
    <t>28.11.Заявка 3071.Осмотр течи отопления. Офрмлена заявка на материалы на 29.11.</t>
  </si>
  <si>
    <t>Ставицкий, Сауков</t>
  </si>
  <si>
    <t>29.11. Заявка 3076 кв4. Течь отопления, Остановка отопления дома, устранение течи на отопление, запуск дома.</t>
  </si>
  <si>
    <t>Ставицкий, Сауков,Музыченко</t>
  </si>
  <si>
    <t>30.11.Заявка к 321.Нет воды.Замена гибких подводок, крана д15</t>
  </si>
  <si>
    <t>30.11.Заявка  к432. Забита канализация, замена стояка, разводки канализации</t>
  </si>
  <si>
    <t>29.11. Заявка к 313-316. Замена эл.освещения в секции 313-316, демонтаж и монтаж</t>
  </si>
  <si>
    <t>30.11.Заявка 3080 к 401. Нет света. Ревизия эл.щита</t>
  </si>
  <si>
    <t>Денисов, Ерлин</t>
  </si>
  <si>
    <t>01.12.Закрытие задвижек на дома, по заявке "Теплосервиса"</t>
  </si>
  <si>
    <t>01.12.Замер рам, вырезка стекол, остекление</t>
  </si>
  <si>
    <t>01.12.Осмотр, замер рам, вырезка стекла, остекление</t>
  </si>
  <si>
    <t xml:space="preserve"> Музыченко</t>
  </si>
  <si>
    <t xml:space="preserve"> по улице Кирова  в  декбре  месяце 2011 года</t>
  </si>
  <si>
    <t>01.12.Заявка 3087. Замена эл.лампм</t>
  </si>
  <si>
    <t>декабрь</t>
  </si>
  <si>
    <t>итого</t>
  </si>
  <si>
    <t>02.12.Осмотр элщита в подвале и эл.щитов в подъезде</t>
  </si>
  <si>
    <t>02.12. осмотр подвала ,</t>
  </si>
  <si>
    <t>02.12.Осмотр подвальных помещений, осмотр канализационных колодцев</t>
  </si>
  <si>
    <t>02.12.Осмотр канализационных колодцев</t>
  </si>
  <si>
    <t xml:space="preserve"> по улице  7 км   в декабре месяце 2011 года</t>
  </si>
  <si>
    <t>02.12.Изготовление запора на дверь, ремонт подвальных дверей, установка запора</t>
  </si>
  <si>
    <t>Денисов, Сауков</t>
  </si>
  <si>
    <t xml:space="preserve">05.12.Ревизия элщитов, замена </t>
  </si>
  <si>
    <t>05.12. Не работает вытяжка. Очистка вентиляции тросом с крыши</t>
  </si>
  <si>
    <t>06.12.Осмотр подвалов, доливка отработки, очистка гнезд под термометры</t>
  </si>
  <si>
    <t>05.12.Течь воды с потолка. Обследование квартиры, Составление акта</t>
  </si>
  <si>
    <t>05.12.Остекление подъездов</t>
  </si>
  <si>
    <t>06.12.Остекление подъездов</t>
  </si>
  <si>
    <t>07.12.Заявка 3135 кв 3.Набивка кран-буксы</t>
  </si>
  <si>
    <t>07.12.Подгонка дверей подвалов, закрытие подвалов на замок</t>
  </si>
  <si>
    <t>Овсянников, Ерлин</t>
  </si>
  <si>
    <t>08.12.Подключение кобры освещения</t>
  </si>
  <si>
    <t xml:space="preserve">08.12.Заявка 3156,3157,3158, кв 39,30,18.Топят сверху.Обследование кв 39 на затопление, перепуск стояков отопления кв 18,30. </t>
  </si>
  <si>
    <t>08.12.Не работает вентиляция. Осмотр вытяжек, удаление кружака с вытяжек</t>
  </si>
  <si>
    <t>13.12.Заявка 3198 кв 16. Замена эллампочек</t>
  </si>
  <si>
    <t>13.12.Заявка 3177 кв 16.Замена лампочек</t>
  </si>
  <si>
    <t>13.12. Заявка кв 42. Перекрыть стояк и закрыть стояк черех час</t>
  </si>
  <si>
    <t>13.12.Уборка подвала</t>
  </si>
  <si>
    <t>12.12.Заявка 3180.Замена лампочек, ревизия эл.щита</t>
  </si>
  <si>
    <t>12.12.Заявка 3072 кв 7.Замена крана 15 на стояке хвс</t>
  </si>
  <si>
    <t>12.12.Заявка 3201 кв 15. Осмотр, переливал бачок унитаза, ремонт поплавка</t>
  </si>
  <si>
    <t>12.12.Удаление штукатурки с потолка 5-го этажа в 1 подъезде</t>
  </si>
  <si>
    <t>12.12.Устранение течи на сетях канализации. Установка резин.уплотнений, установка крышки, заглушки</t>
  </si>
  <si>
    <t>12.12.Пробивка канализационного колодца</t>
  </si>
  <si>
    <t>Музыченко, Христофоров, Конюшенко</t>
  </si>
  <si>
    <t>Конюшенко, Ерлин</t>
  </si>
  <si>
    <t>09.12.Осмотр в подвале стояков водопровода и отопления, течей нет</t>
  </si>
  <si>
    <t>09.12.Утепление теплотрассы</t>
  </si>
  <si>
    <t>09.12.Осмотр стояков хвс, отопления, канализации</t>
  </si>
  <si>
    <t>14.12. Заявка, пробивка канализации в подвале</t>
  </si>
  <si>
    <t>14.12.Заявка 3228. Ремонт двери</t>
  </si>
  <si>
    <t>Христофров</t>
  </si>
  <si>
    <t>14.12.Заявка 3225 кв 28. Сломана дверь, ремонт дверей</t>
  </si>
  <si>
    <t>14.12.Заявка 3221 кв 64. Осмотр. Сделать ступеньку 15.12.</t>
  </si>
  <si>
    <t>16.12.Осмотр подвальных помещений, канализации</t>
  </si>
  <si>
    <t>16.12.Заявка 3236. Нет тепла, осмотр задвижек теплотрассы по подвалу, перепуск</t>
  </si>
  <si>
    <t>16.12.Ревизия эл.щитов по подъездам, замена  лампочек</t>
  </si>
  <si>
    <t>16.12.Ревизия эл.щитов по подъездам, замена лампочек</t>
  </si>
  <si>
    <t>16.12.Заявка 3222 кв 6. Замена лампочек</t>
  </si>
  <si>
    <t>16.12.Осмотр  эл.щитов по подъездам</t>
  </si>
  <si>
    <t>14.12.Заяка 3279 кв 29. Замена лампочек</t>
  </si>
  <si>
    <t>14.12.Заявка 3212 кв 23. Замена эл.лампочек</t>
  </si>
  <si>
    <t>15.12.Заявка 327 кв 27. Ревизия элщитов.Протяжки контактов, замена автоматов</t>
  </si>
  <si>
    <t>14.12.Заявка 3229. Устранение течи Заявка 3230 Осмотр сифона, ремонт</t>
  </si>
  <si>
    <t>15.12.Заявка 3234, 3218. Осмотр канал.труб по замене, осмотр водопровода, ремонт люков на крыше</t>
  </si>
  <si>
    <t>15.12.Осмотр подвалов на протекание канализации</t>
  </si>
  <si>
    <t>Ерлин, Конюшенко</t>
  </si>
  <si>
    <t>14.12.Заявка 3223 кв3. Пробивка канализации в подвале</t>
  </si>
  <si>
    <t>15.12.Уборка подвала</t>
  </si>
  <si>
    <t>Ерлин, Конюшенко, Музыченко</t>
  </si>
  <si>
    <t>Ерлин, Конюшекнко, Музыченко</t>
  </si>
  <si>
    <t>19.12. Заявка 3248. кв 48,25. Ремонт дверей подъездов</t>
  </si>
  <si>
    <t>19.12. Заявка 3269 кв 7. Пробивка канализации</t>
  </si>
  <si>
    <t>20.12. Осмотр, окрыт подвал. Очистка от наледи двери, ремонт запора двери</t>
  </si>
  <si>
    <t>21.12.Заявка кв 6. Прочистка  канализации</t>
  </si>
  <si>
    <t>19.12.Заявка 3250 кв 5. Осмотр, отгорел кабель на водонапорную башню</t>
  </si>
  <si>
    <t xml:space="preserve">      </t>
  </si>
  <si>
    <t>19.12.Совместно с РЭС обследование на установку счетчика</t>
  </si>
  <si>
    <t>21.12.Заявка 3271. Замена лампочек</t>
  </si>
  <si>
    <t>21.12.Заявка 3277 кв 23. Установка люстры</t>
  </si>
  <si>
    <t>21.12.Заявка 3265. Замена лампочек</t>
  </si>
  <si>
    <t>21.12.Заявка 3259 кв 61. Замена лампочек</t>
  </si>
  <si>
    <t>22.12.Заявка 3284. кв4. Искрит выключатель. Замена выключателя, замена лампочек</t>
  </si>
  <si>
    <t>22.12. Заявка 3262 кв55. Замена лампочек</t>
  </si>
  <si>
    <t>22.12.Заявка 3266 кв62. Замена лампочек, ремонт патрона, ревизия щитов</t>
  </si>
  <si>
    <t>22.12.Заявка 3280 кв105. Замена лампочек</t>
  </si>
  <si>
    <t>22.12.Заявка 3281 кв 25. Замена лампочек</t>
  </si>
  <si>
    <t>22.12.Заявка 3286 кв.4.Замена лампочек</t>
  </si>
  <si>
    <t>22.12.Заявка 1780 кв1,5 . Демонтаж стояков канализации, прочистка</t>
  </si>
  <si>
    <t>Ерлин, Овсянников, Конюшенко, Музыченко</t>
  </si>
  <si>
    <t>22.12.Заявка 3282.к 215. Замена кран-буксы, препуск стояка</t>
  </si>
  <si>
    <t>22.12.Заявка к 315. Демонтаж батарии, монтаж батареи, сварочные работы</t>
  </si>
  <si>
    <t>Христофоров, Денисов, Сауков</t>
  </si>
  <si>
    <t>22.12 Заявка . Устройсто ступеньки в 1 подъезде</t>
  </si>
  <si>
    <t>10.01. Заявака 3423, течь воды в подвале. Пробивка канализации</t>
  </si>
  <si>
    <t>Конюшенко, Музыченко, Овсянников, Денисов</t>
  </si>
  <si>
    <t>10.01.Заявка 3420. Течь канализации в подвале, пробивка канализации</t>
  </si>
  <si>
    <t>Конюшенко, Овсянников, Денисов, Музыченко</t>
  </si>
  <si>
    <r>
      <t xml:space="preserve">Ликвидация воздушных пробок в системе отопления </t>
    </r>
    <r>
      <rPr>
        <b/>
        <sz val="11"/>
        <color indexed="60"/>
        <rFont val="Arial"/>
        <family val="2"/>
      </rPr>
      <t xml:space="preserve">в радиатор. блоке </t>
    </r>
  </si>
  <si>
    <t>10.01.Заявка 3418, кв 18,7.Нет воды.прочистка водопроводного стояка.Течь воды</t>
  </si>
  <si>
    <r>
      <t>Уборка мусора с чердаков</t>
    </r>
    <r>
      <rPr>
        <b/>
        <sz val="11"/>
        <color indexed="60"/>
        <rFont val="Arial Cyr"/>
        <family val="0"/>
      </rPr>
      <t xml:space="preserve"> </t>
    </r>
  </si>
  <si>
    <r>
      <t xml:space="preserve">Ликвидация воздушных пробок в системе отопления </t>
    </r>
    <r>
      <rPr>
        <b/>
        <sz val="11"/>
        <color indexed="60"/>
        <rFont val="Arial"/>
        <family val="2"/>
      </rPr>
      <t>в стояке</t>
    </r>
  </si>
  <si>
    <t>10.01.Заявка 3416.к 233.холодные батареи. Перепуск стояка</t>
  </si>
  <si>
    <t>10.01. кв 6.Заявка 3366.Нет напора воды, осмотрено,  нет напора к  дому</t>
  </si>
  <si>
    <t>10.01.заявка ст.дома.Течь канализации в подвале.</t>
  </si>
  <si>
    <t xml:space="preserve"> по улице М.Горького  в январе  месяце 2012 года</t>
  </si>
  <si>
    <t>10.01.Заявка 3394.Нет света в подъезде, замена лампочек</t>
  </si>
  <si>
    <t>10.01. Заявка 3387.Нет света в подъезде, замена лампочек</t>
  </si>
  <si>
    <t>10.01.Заявка 3424.Замена лампочек на 1 этаже</t>
  </si>
  <si>
    <t>10.01.Заявка 3406 кв 13,7. Нет света в квартире.Замена вставки 63А</t>
  </si>
  <si>
    <t>10.01.Заявка 3421 кв.3. Нет света в подъезде. Замена лампочек</t>
  </si>
  <si>
    <t>12.01.Заявка 3440 кв.60. Нет света выбивает автомат. Отключил в квартире посторонние подключения</t>
  </si>
  <si>
    <t>Ерюков, Матузов</t>
  </si>
  <si>
    <t>12.01.Заявка 3422. Проверить пакетники, осмотрено</t>
  </si>
  <si>
    <t>12.01.Заявка 3441 кв.13. Горит элсчетчик..Осмотрено, требуется замена элсч.</t>
  </si>
  <si>
    <t>11.01.Заявка 3434, кв31. Течь воды по стояку. Замена стояка кв 31, кв45.</t>
  </si>
  <si>
    <t>Сауков, Денисов</t>
  </si>
  <si>
    <t>11.01.Замена трубы д50 из подвала до 2-го этажа (пожарный гидрант)</t>
  </si>
  <si>
    <t>Сауков, Денисов, Конюшенко</t>
  </si>
  <si>
    <t>11.01. Заявка 3436. Нет пружин на дверях. Осмотр подвала на протекание, установка пружин</t>
  </si>
  <si>
    <t>11.01. Осмотр, определение материалов для замены водопровода по подвалу с разводкой</t>
  </si>
  <si>
    <t>11.01.Заявка 3391 к 512. Течь канализационного стояка, замена канализационного стояка</t>
  </si>
  <si>
    <t>11.01.Заявка 3417 .Запах канализации. Дезинфекция подвала</t>
  </si>
  <si>
    <t>11.01. Заявка 3438. Запах канализации. Дизенфекция подвала</t>
  </si>
  <si>
    <t>11.01. Установка брусков под двери</t>
  </si>
  <si>
    <t>12.01.Установка дверных блоков</t>
  </si>
  <si>
    <t>13.01.Заявка 3451. кв 66 засор канализации. Канализация прочищена</t>
  </si>
  <si>
    <t xml:space="preserve"> по улице Строительной  в  январе месяце 2012 года</t>
  </si>
  <si>
    <t>13.01.Осмотр канализационных колодцев</t>
  </si>
  <si>
    <t>13.01.Заявка 3354, кв 7,4. Холодные батареи, перепуск стояков</t>
  </si>
  <si>
    <t>12.01.Устранение течи на х/в, установка кранов, заглушек.</t>
  </si>
  <si>
    <t>Овсянников, Музыченко</t>
  </si>
  <si>
    <t>12.01.Осмотр подвала, установка двери, ремонт двери</t>
  </si>
  <si>
    <t>13.01.Заявка 3446. кв 30 забита вентиляция. Очистка вентиляции</t>
  </si>
  <si>
    <t>13.01.Заявка 3218, кв13. Нет воды. Продувка труб.</t>
  </si>
  <si>
    <t>Музыченко, Овсянников, Ерлин</t>
  </si>
  <si>
    <t>13.01. Заявка 3453. к 414. Течь воды, обследовано, конденсат, устранена течь</t>
  </si>
  <si>
    <t>13.01. Заявка 3432 (1 под.) Замена эл.ламп 3,4,5,этажи</t>
  </si>
  <si>
    <t>13.01. Заявки 3449 (к 528) замена эл.ламп</t>
  </si>
  <si>
    <t>13.01.Заявка 3448 к 505.Запах канализации, осмотрено</t>
  </si>
  <si>
    <t>16.01.Сорвали проводку нет света. Капитальный ремонт проводки</t>
  </si>
  <si>
    <t>17.01.Освещение подвала для ремонта отопления</t>
  </si>
  <si>
    <t>16.01.Заявка 3471 кв 2. Сверху топят. Обследование в кв.4. нет дома</t>
  </si>
  <si>
    <t>Кривенчук, Конюшенко</t>
  </si>
  <si>
    <t>16.01.Прокладка кабеля освещения</t>
  </si>
  <si>
    <t>16.01. Крепление арматуры под воду в подвале</t>
  </si>
  <si>
    <t>Конюшенко, музыченко</t>
  </si>
  <si>
    <t>16.01.Заявка 3472.Забита канализация, пробивка канализации</t>
  </si>
  <si>
    <t>Ерлин, Денисов, Христофоров</t>
  </si>
  <si>
    <t>16.01. Заявка 3466.Пробивка канализации в подвале</t>
  </si>
  <si>
    <t>Денисов, Христофоров, Ерлин</t>
  </si>
  <si>
    <t>16.01.Заявка.Пробивка вент.вытяжек на крыше</t>
  </si>
  <si>
    <t>Ерлин, Христофоров, Овсянников</t>
  </si>
  <si>
    <t>17.01.Осмотр подвала (канализация, водопровода, отопления)</t>
  </si>
  <si>
    <t>16.01.Заявка 3465 кв 13. Нет тепла, перепуск стояков</t>
  </si>
  <si>
    <t>Ерлин, Христофоров. Овсянников</t>
  </si>
  <si>
    <t>18.01.Заявка к 326. Замена эл.лампочек</t>
  </si>
  <si>
    <t>18.01.Заявка 3485.Замена эл.лампочек</t>
  </si>
  <si>
    <t>18.01.Заявка 3492. Замена эл.лампочек</t>
  </si>
  <si>
    <t>13.01. Обследование эл.щита для отключения сторонних потребителей</t>
  </si>
  <si>
    <t>18.01.Заявка 3491,3470. Сгорела светильник, эл.патрон.Замена патрона</t>
  </si>
  <si>
    <t>18.01.Подключение правой стороны освещения подвала</t>
  </si>
  <si>
    <t>Денисов, Ерлин, Овсянников</t>
  </si>
  <si>
    <t>18.01. Нет напора воды. Замер давления по квартирам, замена стояка</t>
  </si>
  <si>
    <t>18.01.Заявка 3467, 3475. Засор канализации, течь трубы. Осмотрено требуется замена унитаза</t>
  </si>
  <si>
    <t>18.01.Заявка 3484, кв 63.Забита канализация. В подвале осмотрено в кв.63  отогревание стояка канализации.</t>
  </si>
  <si>
    <t>19.01.Нет давления. Устранение течи в подвале</t>
  </si>
  <si>
    <t>Христофоров, Овсянников</t>
  </si>
  <si>
    <t>19.01.Заявка, холодные полотенцесушители, перепущен стояк гвс</t>
  </si>
  <si>
    <t>19.01.Течь в подвале, пробивка канализации в подвале</t>
  </si>
  <si>
    <t>Денисов, Овсянников, Ерлин</t>
  </si>
  <si>
    <t>19.01.Заявка 3496, 3379, нет воды (очистка гибкой подаодвки), течь воды (регулировка бачка)</t>
  </si>
  <si>
    <t>19.01.Заявка 3490 (217). Плохой напор воды. Замена крана на стояке, замена гибких подводок, замена тройника, регулировние смывного бачка</t>
  </si>
  <si>
    <t>18.01.Работа в подвале, прокладка труб отопления</t>
  </si>
  <si>
    <t>Сауков, Конюшенко, музыченко</t>
  </si>
  <si>
    <t>19.01. Работа в подвале, прокладка труб отопления</t>
  </si>
  <si>
    <t>20.01.Заявка кв 1,4,7,10 нет тепла, холодные батареи, перепуск стояков</t>
  </si>
  <si>
    <t>Ерлин, Музыченко</t>
  </si>
  <si>
    <t>20.01.Заявка 3499,3516 (кв18,21), холодные стоки на кухне, перепуск стяков</t>
  </si>
  <si>
    <t>20.01.Заявка 3503. Нет тепла, перепуск стояков</t>
  </si>
  <si>
    <t>20.01.Заявка 3500. Засор унитаза, пробивка канализации</t>
  </si>
  <si>
    <t>20.01. Работа в подвале, прокладка труб отопления</t>
  </si>
  <si>
    <t>Сауков, Христофоров</t>
  </si>
  <si>
    <t>20.01.кв 15,17. Нет воды, замена лежака холодной воды</t>
  </si>
  <si>
    <t>24.01.Забита канализация. Пробивка канализации</t>
  </si>
  <si>
    <t>24.01.заявки 3548,3487,2523,Запах канализации, очистка куржака на крыше</t>
  </si>
  <si>
    <t>23.01.Сломан лаз на крышу. Ремонт лаза</t>
  </si>
  <si>
    <t>23.01.Осмотр сетей отопления, водопровода, канализации</t>
  </si>
  <si>
    <t>23.01.Замерз лежак водопровода, отогревание лежака</t>
  </si>
  <si>
    <t>Денисов, музыченко, Овсянников</t>
  </si>
  <si>
    <t>Денисов, музыченко</t>
  </si>
  <si>
    <t>24.01.заявка 3545,запах канализации.Прочистка вентялиции от куржака</t>
  </si>
  <si>
    <t>24.01.Заявка кв 32,35.Не работает полотенцесушитель.Установка крана на гвс, перепуск стояка гвс</t>
  </si>
  <si>
    <t>24.01.Заявка 3505.Запах канализации. Прочистка вентиляции, удаление куржака</t>
  </si>
  <si>
    <t>Овсянников, Денисов, музыченко</t>
  </si>
  <si>
    <t>24.01.Заявка 3155 (кв 29) Нет света на площадке, замена эл.лампочек</t>
  </si>
  <si>
    <t>24.01.Заявка 3544.Замена лампочек</t>
  </si>
  <si>
    <t>24.01.Заявка 3514,3493 (кв 82,76), замена лампочек</t>
  </si>
  <si>
    <t>24.01. заявки 3506,3511 (кв 16.43)Нет света в подъезде. Замена лампочек</t>
  </si>
  <si>
    <t>24.01.Заявки3551,3534,3543 (кв 19,10,11) Замена лампочек</t>
  </si>
  <si>
    <t>23.01.нет воды, замена лежака холодной воды</t>
  </si>
  <si>
    <t>Сауков, Конюшенко, Музыченко</t>
  </si>
  <si>
    <t>25.01.Заявка 3513 (412к) .Замена патрона</t>
  </si>
  <si>
    <t>25.01.Заявка 3539 (513к).Замена эллампочек</t>
  </si>
  <si>
    <t>25.01.Заявка 3531. Замена лампочек левое крыло</t>
  </si>
  <si>
    <t>25.01.Заявка 3164 (кв9) Нет света, ремонт элпатрона</t>
  </si>
  <si>
    <t>25.01.Заявка 3554 (кв130 Нет света в квартире, замена автомата</t>
  </si>
  <si>
    <t>25.01.Заявка 355. Холодные батареи. Перепуск стояков отопления</t>
  </si>
  <si>
    <t>25.01.Заявка. Холодные батареи. Перпуск стояков отопления</t>
  </si>
  <si>
    <t>25.01.Заявка. Не работает канализация, пробивка канализации</t>
  </si>
  <si>
    <t>Денисов, Овсянников, Христофоров</t>
  </si>
  <si>
    <t>26.01.Заявка 3566 (кв2) Нет света в квартире. Выбило автомат</t>
  </si>
  <si>
    <t>26.01. Заявка 3571 (301к). Не работает паторн. Ремонт эл.патрона</t>
  </si>
  <si>
    <t>26.01.Заявка 3533,Нет света в коридоре, замена эл.лампочек</t>
  </si>
  <si>
    <t>26.01.Заявка 3560 (кв54) Нет света на лестн. Замена лампочек</t>
  </si>
  <si>
    <t>26.01.Заявка 3502. Сгорела розетка. Замена внутренних розеток</t>
  </si>
  <si>
    <t>26.01.Заявка 2561. Забит стояк в туалете. Прочистка стояка</t>
  </si>
  <si>
    <t>26.01. Сорвало кран на стояке. Устранено</t>
  </si>
  <si>
    <t>Ерлин, Конюшенко, Христофоров</t>
  </si>
  <si>
    <t>26.01. Заявка 3569 (кв 17) Не греют батареи. Перепуск стояков</t>
  </si>
  <si>
    <t>26.01. Остекление окон подъезда</t>
  </si>
  <si>
    <t>26.01. Заявка 3575. Забита канализация, прочистка канализации в подвале.</t>
  </si>
  <si>
    <t>30.01.Заявка 3589,3591 (кв 14). Запах канализации, Осмотрено, подвал сухой</t>
  </si>
  <si>
    <t>Христофоров, Ерлин, Овсянников</t>
  </si>
  <si>
    <t>30.01.Заявка 3596. (кв 42) Течь отпления, работы по отоплению</t>
  </si>
  <si>
    <t>Сауков, Христофоров, Овсянников</t>
  </si>
  <si>
    <t xml:space="preserve">30.01.Плановые: крепление труб отопления </t>
  </si>
  <si>
    <t>30.01.Утепление окон в подвале</t>
  </si>
  <si>
    <t>30.01.Заявка 3594 . Нет света. Замена эллампочек</t>
  </si>
  <si>
    <t>30.01. Заявки 3581,3445,3517. нет света на лест.площадках. Замена эл.лампочек</t>
  </si>
  <si>
    <t>30.01. Заявка 3518,3444,3574. Нет света на этажах. Замена эл.лампочек</t>
  </si>
  <si>
    <t>30.01.Заявка 3599. Нет света в квартире. Замена автомата</t>
  </si>
  <si>
    <t>30.01. Заявка 3582 . Кв 101. Короткое замыкание. Изоляция проводов</t>
  </si>
  <si>
    <t>31.01. Заявка 3590. Нет света . Замена лампочки над входом</t>
  </si>
  <si>
    <t>31.01. Заявка 3603. Кв 48. Нет света в квартире. Замена автомата</t>
  </si>
  <si>
    <t>31.01.Заявка 3586. Нет света в квартире. Замена эл.провода в щите.</t>
  </si>
  <si>
    <t>31.01. Обход подъездов, ревизия эл.щитов</t>
  </si>
  <si>
    <t>Конюшенко, Ерлин, Христофоров, Овсянников</t>
  </si>
  <si>
    <t>31.01. Заявка 3602. (227к) Течь  в предтуалете. Устранение течи канализации</t>
  </si>
  <si>
    <t>31.01.Заявка 3606 кв 4. Нет воды, отогрев и тутепление труб хвс</t>
  </si>
  <si>
    <t>31.01. Заявка 3607 кв 7. Нет воды. Осмотр нет давления воды.</t>
  </si>
  <si>
    <t>выкос травы</t>
  </si>
  <si>
    <t>17.06.Заявка кв 24. Протекание с потолка. Установка резьбы на слив</t>
  </si>
  <si>
    <t>Ерлин, Овсянников, Сауков</t>
  </si>
  <si>
    <t>22.06.Осмотр подвальных помещений</t>
  </si>
  <si>
    <t>24.06.Осмотр подвальных помещений</t>
  </si>
  <si>
    <t>Техническое обслуживание внутренних систем ТВС,  ХВС и канализации</t>
  </si>
  <si>
    <t>Кривенчук, Ставицкий</t>
  </si>
  <si>
    <t>10.06. Промывка 2х промежуточных колодцев канализации</t>
  </si>
  <si>
    <t>Заявка кв 15. Осмотр, замена прокладок</t>
  </si>
  <si>
    <t>16.06.Заявка кв.15. Замена крана, Замена уголка, сброс воды</t>
  </si>
  <si>
    <t>Крупич, Ерлин, Конюшенко,</t>
  </si>
  <si>
    <t>21.06.Замена полотенцесушителя</t>
  </si>
  <si>
    <t>Крупич,Ерлин</t>
  </si>
  <si>
    <t>17.06.Ревизия эл.щитов в доме</t>
  </si>
  <si>
    <t>21.06.Заявка.Замена эл.ламп 4 шт</t>
  </si>
  <si>
    <t>стоимость материалов</t>
  </si>
  <si>
    <t>02.06.Заявка 1254 кв 3. Прочистка сети канализации в подвале</t>
  </si>
  <si>
    <t>Ерлин, Христофоров, Конюшенко</t>
  </si>
  <si>
    <t>04.06.Заявка 1270, прочистка маленького колодца</t>
  </si>
  <si>
    <t>06.06.Заявка1281, протекание кв 20. Осмотр кв 23, требует замены разводка и краны по кв.23 . Составлен акт и предписание</t>
  </si>
  <si>
    <t>09.06. Заявка 1314, кв 20. Осмотрено в кв 23., требует замены прокладка унитаза.</t>
  </si>
  <si>
    <t>14.06. Заявка 1330,кв 15.Замена крана , замена уголка</t>
  </si>
  <si>
    <t>17.06.Заявка 1356, кв 24. Не работал спускной клапан, перекрыт кран</t>
  </si>
  <si>
    <t>Сауков, Ерлин, Овсянников</t>
  </si>
  <si>
    <t>19.06.Заявка 1369, прочистка общей канализации</t>
  </si>
  <si>
    <t>Христофоров, Конюшенко</t>
  </si>
  <si>
    <t>20.06.Заявка 1388 кв.15. Течь из полотенцесушителя, осмотр</t>
  </si>
  <si>
    <t>26.07.Заявка 1678 кв 3. Устранение течи из колодца</t>
  </si>
  <si>
    <t>27.07.Заявка 1980. Нет воды, осмотр порыв на ветстанции</t>
  </si>
  <si>
    <t>Ерлин, Овсяников</t>
  </si>
  <si>
    <t>30.08.Осмотр подвального помещения , осмотр промежуточных колодцев</t>
  </si>
  <si>
    <t>27.08.Заявка 1980 кв 3,2. Нет воды, Осмотр, порыв на вет станции, воду временно перекрыли</t>
  </si>
  <si>
    <t>22.08.Осмотр подвального помещения , осмотр промежуточных колодцев</t>
  </si>
  <si>
    <t>17.08.Обход, осмотр подвалов, канализации</t>
  </si>
  <si>
    <t>11.08.Обход, осмотр подвалов, канализации</t>
  </si>
  <si>
    <t>Крупич, Сауков</t>
  </si>
  <si>
    <t>08.08.Установка водосчетчика на хвс в подвале</t>
  </si>
  <si>
    <t>05.08.Заявка, пробивкав канализации по подвалу</t>
  </si>
  <si>
    <t>04.08.Пробивка канализации по подвалу</t>
  </si>
  <si>
    <t>09.08.Заявка 1813 кв 8.Осмотр. Ревизия эл.щита</t>
  </si>
  <si>
    <t>12.08.Заявка 1839 кв 6. Осмотр. Нет контакта в пакетном выключателе, зачистка контактов, протяжка контактов в щите.</t>
  </si>
  <si>
    <t xml:space="preserve">15.08.Заявка 1854. кв 6. Осмотр, замена автомата </t>
  </si>
  <si>
    <t>20.08.Заявка 1911 кв 9. Осмотр, замена пакетника</t>
  </si>
  <si>
    <t>15.09.уборка шифера с крыши, замена на железо</t>
  </si>
  <si>
    <t xml:space="preserve">16.09. ремонт кровли (пеной) осмотр </t>
  </si>
  <si>
    <t>23.09. осмотр чердаков на предмет сборок на отопление</t>
  </si>
  <si>
    <t>30.09. Рабочая проверка системы отопления в подвале</t>
  </si>
  <si>
    <t>16.09.Осмотр системы центрального отопления в подвале</t>
  </si>
  <si>
    <t>15.09.ревизия эл.щитов с 1по 3 подъезд</t>
  </si>
  <si>
    <t>27.09. Заявка 2278, кв.22, течь с потолка, протяжка кран-буксы</t>
  </si>
  <si>
    <t>28.09.Заявка 2294, кв 14,15.замена эл.лампочек</t>
  </si>
  <si>
    <t>26.09.Заявка 2264 кв 24. Заменить кран на отплении. Осмотр</t>
  </si>
  <si>
    <t>Ставицкий</t>
  </si>
  <si>
    <t>17.09.Заявка 2186. кв 2. С потолка течет вода. Осмотрено, перекрыли воду.</t>
  </si>
  <si>
    <t>04.09.Заявка 2067.Нет воды в доме. Осмотр, воду перекрыли на ветстанции</t>
  </si>
  <si>
    <t>01.09. Заявка 2040. осмотр кровли на протекание (заявка кв 24)</t>
  </si>
  <si>
    <t>30.09.Заявка 2319 кв.23. Засор канализации в ванной, осмотр. Платная услуга.</t>
  </si>
  <si>
    <t>19.09. Заявка 2002, кв 20. Засор стояка в туалете, сотавлен акт</t>
  </si>
  <si>
    <t>Кривечук, ставицкий</t>
  </si>
  <si>
    <t>17.09.Заявка 2187, кв20. Поменять вводные краны, сотвлен акт</t>
  </si>
  <si>
    <t>Кривечук, Ставицкий</t>
  </si>
  <si>
    <t>21.10.осмотр подвала и чердака</t>
  </si>
  <si>
    <t>Музыченко, Конюшенко</t>
  </si>
  <si>
    <t>31.10. закрытие чердаков</t>
  </si>
  <si>
    <t xml:space="preserve">07.10. Перепуск отопления </t>
  </si>
  <si>
    <t>21.10.перепуск стояков отопления</t>
  </si>
  <si>
    <t>31.10.Утепление разводки системы отопления на чердаке</t>
  </si>
  <si>
    <t>06.10. Устранение течи канализации, пробивка канализации с промежуточного колодца до выгреба</t>
  </si>
  <si>
    <t>Ерлин, Музыченко,Христофоров</t>
  </si>
  <si>
    <t>12.10.Осмотр подвалов и колодцев канализации</t>
  </si>
  <si>
    <t>05.10.по заявке кв 3,9,15, замена рубильника на вводном щите</t>
  </si>
  <si>
    <t>19.10. Ревизия эл.щитов</t>
  </si>
  <si>
    <t>28.10. Заявка кв15.Перепуск стояков отопления</t>
  </si>
  <si>
    <t>25.10.Заявка 2662 , 2654, кв1,7. Нет тепла, перепуск стояков</t>
  </si>
  <si>
    <t>25.10. Заявка 2653, кв 15. Течь трубы в ванной. Нет никого дома</t>
  </si>
  <si>
    <t xml:space="preserve">11.10. Заявка 2507. кв15. бежит полотенцесушитель.,Нет никого дома. Перепуск отопления </t>
  </si>
  <si>
    <t>Крупич, Музыченко</t>
  </si>
  <si>
    <t>11.10. по заявке 2488  кв3. Замена эллампочек</t>
  </si>
  <si>
    <t>07.10.Заявка 2443 кв 23. Прочистка канализации 12.10.</t>
  </si>
  <si>
    <t>05.10.Заявка 2400 кв 3. Прочистка канализации в подвале</t>
  </si>
  <si>
    <t>05.08.Заявка 2399, кв 15,3,9.Ревизия эл.щитов по подъездам и в подвале</t>
  </si>
  <si>
    <t>03.10.Заявка 2355 кв2. Нет тепла- котельные днем отключают.</t>
  </si>
  <si>
    <t>10.11.заявка 2889 кв7. Прочистка стояка канализационного</t>
  </si>
  <si>
    <t>28.11.Заявка 3062 кв3. Осмотр, выгребная полная, промежуточные полные, вызов асмашины</t>
  </si>
  <si>
    <t>12.10. заявка 2910,  кв 3, пробивка канализациииз подвала до колодца</t>
  </si>
  <si>
    <t>11.10. Заявка 2908. Подвал затапливает водой.Откачка воды из подвала</t>
  </si>
  <si>
    <t>02.12.Осмотр подвалов, осмотр канализационных колодцев</t>
  </si>
  <si>
    <t>09.12.Осмотр подвальных помещений по канализации, исправное</t>
  </si>
  <si>
    <t>26.12.Заявка 3314, кв 2. Прочистка канализации из подвала до колодца</t>
  </si>
  <si>
    <t>аварийно-диспетчерская служба</t>
  </si>
  <si>
    <t xml:space="preserve">Отработано часов </t>
  </si>
  <si>
    <t>собрано средств населения за текущее содержние с июня по 2011 г по январь 2012г</t>
  </si>
  <si>
    <t>ИТОГО затраты по содержанию жилищного фонда</t>
  </si>
  <si>
    <t>Остаток денежных средств</t>
  </si>
  <si>
    <t>Главный экономист ООО "МУК"                                            Артеменко Л.А.</t>
  </si>
  <si>
    <t>Зарплата основных рабочих с налогами на з/плату</t>
  </si>
  <si>
    <t>услуги автотраспорта</t>
  </si>
  <si>
    <t xml:space="preserve"> по улице Строительной  </t>
  </si>
  <si>
    <t xml:space="preserve">Ограждение контейнерных площадок </t>
  </si>
  <si>
    <t>Тихов, Христофоров</t>
  </si>
  <si>
    <t>10.01. Ремонт перилл по крыльям , сварочные работы</t>
  </si>
  <si>
    <t xml:space="preserve">Сауков, </t>
  </si>
  <si>
    <t>11.01. Ремонт перилл по крыльям , сварочные работы</t>
  </si>
  <si>
    <r>
      <t>Уборка мусора с чердаков</t>
    </r>
    <r>
      <rPr>
        <b/>
        <sz val="11"/>
        <rFont val="Arial Cyr"/>
        <family val="0"/>
      </rPr>
      <t xml:space="preserve"> </t>
    </r>
  </si>
  <si>
    <t>20.02.Уборка снега с кровли</t>
  </si>
  <si>
    <t>Ерлин, Конюшенко, Денисов</t>
  </si>
  <si>
    <t>06.02.Заявка , замена эл.лампочек</t>
  </si>
  <si>
    <t>16.03. Осмотр канализационных колодцев</t>
  </si>
  <si>
    <t>Денисов, Христофоров, Овсянников</t>
  </si>
  <si>
    <t>09.04Дезинфекция техподполья</t>
  </si>
  <si>
    <t xml:space="preserve">Ерлин, </t>
  </si>
  <si>
    <t>20.04.Дезинфекция подвала</t>
  </si>
  <si>
    <t>03.04.Плановый осмотр сетей водоснабжения в подвале</t>
  </si>
  <si>
    <t>Конюшекнко</t>
  </si>
  <si>
    <t>06.04.Осмотр канализации в жилых домах</t>
  </si>
  <si>
    <t>08.04.Заявка 350.кв16. Течет канализация в подвале, прочистка тросом и при помощи асмашины</t>
  </si>
  <si>
    <t>Угрюмов, Бурдаков</t>
  </si>
  <si>
    <t>13.04.Плановый осмотр инженерных сетей (канализация, отопление, водоснабжение, электроснабжение)</t>
  </si>
  <si>
    <t>Угрюмов, Овсянников, Конюшенко, Музыченко, Сауков, Ерюков</t>
  </si>
  <si>
    <t>20.04.осмотр техподвалов на предмет протекания, осмотр сетей канализации</t>
  </si>
  <si>
    <t>Сауков, Конюшекнко, Овсяников, Угрюмов, Ерлин</t>
  </si>
  <si>
    <t>28.04.осмотр техподвалов на предмет протекания, осмотр сетей канализации</t>
  </si>
  <si>
    <t>Сауков, Конюшенко, Овсяников, Угрюмов, Ерлин</t>
  </si>
  <si>
    <t>Отчет за период с 01.06.2011 года по 01.08.2012г.</t>
  </si>
  <si>
    <t>по май</t>
  </si>
  <si>
    <t>Начисление населению за текущее содержание с июня 2011г  по август 2012г</t>
  </si>
  <si>
    <t>Задолженность населения на 01.08.012 года</t>
  </si>
  <si>
    <t>Ерлин, Обвсянников, Музыченко</t>
  </si>
  <si>
    <t>14.05.подготовка дома к отключению отопления</t>
  </si>
  <si>
    <t>Денисов, Овсянников</t>
  </si>
  <si>
    <t>16.05.Заявка 187 кв 8. Топит квартиру с чердака., обследовано, перекрыты краны, прочищены сбросники</t>
  </si>
  <si>
    <t>21.06.Заявка 385. Стоит канализация, прочистка тросом канализации в подвале</t>
  </si>
  <si>
    <t>20.06.Заявка 379. Засор общей канализации, прочистка тросом до колодца</t>
  </si>
  <si>
    <t>15.06. Заявка 353 Засор канализации, прочистка тросом из смотрового колодца в выгреб</t>
  </si>
  <si>
    <t>25.05.осмотр техподвалов на предмет протекания, осмотр сетей канализации</t>
  </si>
  <si>
    <t>01.06.осмотр техподвалов на предмет протекания, осмотр сетей канализации</t>
  </si>
  <si>
    <t>09.06.осмотр техподвалов на предмет протекания, осмотр сетей канализации</t>
  </si>
  <si>
    <t>29.06.осмотр техподвалов на предмет протекания, осмотр сетей канализации</t>
  </si>
  <si>
    <t>06.07.осмотр техподвалов на предмет протекания, осмотр сетей канализации</t>
  </si>
  <si>
    <t>13.07.осмотр техподвалов на предмет протекания, осмотр сетей канализации</t>
  </si>
  <si>
    <t>20.07.осмотр техподвалов на предмет протекания, осмотр сетей канализации</t>
  </si>
  <si>
    <t>27.07.осмотр техподвалов на предмет протекания, осмотр сетей канализации</t>
  </si>
  <si>
    <t>19.07.2012 выкос травы</t>
  </si>
  <si>
    <t>Тихов</t>
  </si>
  <si>
    <t xml:space="preserve">106 выезда </t>
  </si>
  <si>
    <t>июнь 2011 года  работы не производились</t>
  </si>
  <si>
    <t>июль 2011г. Замена перехода для чугунных труб</t>
  </si>
  <si>
    <t>июль 2011гстоимость материалов</t>
  </si>
  <si>
    <t>03.08.Заявка кв 2.Замена эллампочек</t>
  </si>
  <si>
    <t>08.08.Заявка 1806 кв 4. Замена эл.лампочек 4 шт.</t>
  </si>
  <si>
    <t>03.08.2011Заявка 1744 кв 2. Осмотр, течи не обнаружено.Стояка хвс канализации исправны</t>
  </si>
  <si>
    <t>23.08.2011Заявка 1937 кв 1. Нет воды. Осмотр, вода по графику</t>
  </si>
  <si>
    <t>02.09.закрытие задвижки сети отопления на дом</t>
  </si>
  <si>
    <t>в октябре работы не производились</t>
  </si>
  <si>
    <t>15.11.Заявка 2935 кв4. Замена лампочек в подъезде 2шт</t>
  </si>
  <si>
    <t>январь 2012 работы не производились</t>
  </si>
  <si>
    <t>22.02. Заявка 72, замена эл.ламп 3 шт</t>
  </si>
  <si>
    <t>24.02.Заявка 83., кв.4. Замена лампочек</t>
  </si>
  <si>
    <t>02.03.Заявка 126, пробивка канализации</t>
  </si>
  <si>
    <t>Конюшенко, Ерлин, Денисов</t>
  </si>
  <si>
    <t>14.03. заявка 182. замена эл.лампочек</t>
  </si>
  <si>
    <t>09.04.Заявка 334, Засор канализации, пробивка тросом дворовой канализации</t>
  </si>
  <si>
    <t>Ерлин, Конюшенко, Овсянников</t>
  </si>
  <si>
    <t>16.04.Заявка кв 1,2. Забилась канализация. Пробивка канализ. Сети от дома до емкости, осмотр необходимо откачать емкость, перенесли на 17.04.</t>
  </si>
  <si>
    <t>Овсянников, Ерлин, Музыченко</t>
  </si>
  <si>
    <t>17.04.Заявка засор канализации, прочистка торссом от дома до емкости</t>
  </si>
  <si>
    <t>19.04.Заявка 34, пробивка тросом уличной канализации от дома до выгребной ямы, с проливом из кв.1,2</t>
  </si>
  <si>
    <t>Конюшенко, Ерлин, Овсянников</t>
  </si>
  <si>
    <t>29.04.Заявка 101 кв 4. Засор канализации, прочистка дворовой канализации</t>
  </si>
  <si>
    <t xml:space="preserve">17.04.Заявка кв.4 Заменить лампочку в подъезде. Проведена замена 2х лампочек </t>
  </si>
  <si>
    <t>06.05.Заявка 140 кв 2. Забита канализация, прочистка тросом</t>
  </si>
  <si>
    <t>СВОДНЫЙ АКТ ПРИЕМКИ</t>
  </si>
  <si>
    <t>Крупич, Ерлин,Конюшенко</t>
  </si>
  <si>
    <t>Христофоров, Овсянников, Денисов</t>
  </si>
  <si>
    <t>10.06.11г. Прочистка канализации в подвале</t>
  </si>
  <si>
    <t>16.06.11г.Заявка, пробивка канализации в подвале</t>
  </si>
  <si>
    <t>17.06.11гЗаявка.Пробивка канализации в подвале, дезинфекция подвала</t>
  </si>
  <si>
    <t>22.06.11гЗаявка Дизенфекция подвального помещения</t>
  </si>
  <si>
    <t>23.06.11г.Заявка кв17. Пробивка канализации в подвале</t>
  </si>
  <si>
    <t>27.06.11г.Заявка кв.11.Пробивка канализации по стояку</t>
  </si>
  <si>
    <t>27.06.11г.Помывка канализационного колодца</t>
  </si>
  <si>
    <t>24.06.11гОсмотр подвальных помещений</t>
  </si>
  <si>
    <t>в июле 2011 года работы не производились</t>
  </si>
  <si>
    <t>22.08.11г.Удаление воды из системы отопления, врезка кранов подключения конвектора</t>
  </si>
  <si>
    <t>31.08.11гУстановление регистра в подъезде</t>
  </si>
  <si>
    <t xml:space="preserve">02.08.Пробивка канализации, осмотр подвала, </t>
  </si>
  <si>
    <t>04.08.Ревизия кранов, перебор сборок, осмотр подвала</t>
  </si>
  <si>
    <t>19.08.Заявка 1902, нет воды, прочистка стояка хвс, ремонт вентиля</t>
  </si>
  <si>
    <t>23.08.Заявка 1929, 1931 нет воды. Осмотр, отключил поставщик</t>
  </si>
  <si>
    <t>30.08.Осмотр подвалов</t>
  </si>
  <si>
    <t>22.08.Подключение сварочного аппарата</t>
  </si>
  <si>
    <t>30.09.Осмотр водопровода, канализации в подвале</t>
  </si>
  <si>
    <t>08.09.Устранение засоров  канализационных трубопроводов  асмашиной</t>
  </si>
  <si>
    <t>10.10. Осмотр крышы на протекание</t>
  </si>
  <si>
    <t>Ерлин, Музыченко, Овсянников</t>
  </si>
  <si>
    <t>28.10. Осмотр и очистка вентиляции на чердаке</t>
  </si>
  <si>
    <t>31.10.Закрытие чердаков</t>
  </si>
  <si>
    <t>Конюшенко,Овсянников</t>
  </si>
  <si>
    <t>10.10. Перепуск отопления  на чердаке</t>
  </si>
  <si>
    <t>Ерлин, Музыченко, Христофоров, Овсянников</t>
  </si>
  <si>
    <t xml:space="preserve">11.10. Перепуск отопления </t>
  </si>
  <si>
    <t>27.10.перепуск стояков  отопления</t>
  </si>
  <si>
    <t>Музыченко, Конюшенко, Христофоров, Овсянников</t>
  </si>
  <si>
    <t>31.10. Установка манометров, трехходовых кранов</t>
  </si>
  <si>
    <t>31.10. Установка сбросников, утепление разводки отопления</t>
  </si>
  <si>
    <t>12.10.Осмотр сетей в подвале</t>
  </si>
  <si>
    <t>17.10. Замена кан.стояка по заявке в кв.1.</t>
  </si>
  <si>
    <t>19.10. по заявке кв. 1 , замена стояка хвс из подвала в квартиру</t>
  </si>
  <si>
    <t>19.10. по заявке кв. 3 , замена стояка хвс из подвала в квартиру</t>
  </si>
  <si>
    <t>24.10. заявка кв.1. замена стояка хвс из подвала в квартиру</t>
  </si>
  <si>
    <t>27.10. пробивка канализации из подвала к промеж.колодцу, осмотр сетей</t>
  </si>
  <si>
    <t>28.10. заявка кв 16, пробивка канализации кух.стояка и канализации в подвале</t>
  </si>
  <si>
    <t>07.10. по заявке кв16. Замена эллампочек</t>
  </si>
  <si>
    <t>02.11. осмотр повала ,утепление подвальных окон</t>
  </si>
  <si>
    <t>17.11.Заявка 2975 кв 5. Нет тепла в спальне. Перепущен воздух на чердаке</t>
  </si>
  <si>
    <t>18.11.Заявка 2987. кв14.Забита кан. Осмотр сетей канализации, прочистка</t>
  </si>
  <si>
    <t>Музыченко, Денисов, Христофоров</t>
  </si>
  <si>
    <t>22.11.Заявка 3013. кв 13. В туалет не поступает вода. Обследовано. Произведен демонтаж крана хвс, шурфовка (безрезультатно). Произведена замена стояка</t>
  </si>
  <si>
    <t>Музыченко Сауков</t>
  </si>
  <si>
    <t>05.12.Заявка  3114.кв 17.Очистка канализации в подвале, пробивка тросом</t>
  </si>
  <si>
    <t>Музыченко, Сауков, Денисов</t>
  </si>
  <si>
    <t>05.12.Заявка 3113 кв 4. Нет воды на кухне. Очистка крана на стояке</t>
  </si>
  <si>
    <t>Музыченко ,Денисов</t>
  </si>
  <si>
    <t>07.12.Заявка 3143 кв16.Запах канализации. Обработка подвала миистралью</t>
  </si>
  <si>
    <t>14.12.Заявка 3220 кв 5. Замена лампочки, осмотр выключателя, ревизия эл.щита</t>
  </si>
  <si>
    <t>10.02.Заявка кв 11,18. Перепуск стояков отопления с чердака</t>
  </si>
  <si>
    <t>07.02.Заявка кв 12,9. Пробивка канализации</t>
  </si>
  <si>
    <t>Конюшенко, ерлин</t>
  </si>
  <si>
    <t>17.02.Заявка кв 9. Забита канализация, пробивка канализации</t>
  </si>
  <si>
    <t>Христофоров, Ерлин, Денисов</t>
  </si>
  <si>
    <t>07.02..Заявка 3627.Нет света в подъезде, замена лампочек</t>
  </si>
  <si>
    <t>09.04. Дезинфекция подвала</t>
  </si>
  <si>
    <t>28.04.Заявка 87 кв 15. Нет тепла в спальне. Перепущены стояки</t>
  </si>
  <si>
    <t>03.04. Осмотр сетей канализации</t>
  </si>
  <si>
    <t>28.04.Заявка 94 кв 7. В подвале стоит вода. Обследовано, протечек в подвале нет. Появилась грунтовая вода</t>
  </si>
  <si>
    <t>30.04.Заявка 106 кв1. Запах канализации. Пробивка троссом канализации из подвала в колодец</t>
  </si>
  <si>
    <t>Овсянников, матузов</t>
  </si>
  <si>
    <t>25.04.осмотр элщитов, проверка освещения</t>
  </si>
  <si>
    <t>Конюшенко,  Овсянников</t>
  </si>
  <si>
    <t>Музыченко, Овсянников, Конюшенко, Денисов</t>
  </si>
  <si>
    <t>эл.монтер</t>
  </si>
  <si>
    <t>27.06.11г. замена лампочек</t>
  </si>
  <si>
    <t>03.06.11гЗабита канализация. Пробивка канализации из колодца до подвала</t>
  </si>
  <si>
    <t>10.06.11г Прочистка канализации в подвале</t>
  </si>
  <si>
    <t>15.06.11гОсмотр подвального помещения с костюмом Л-1</t>
  </si>
  <si>
    <t>30.06.11гЗаявка. Пробивка канализации вподвале, устранение течи водопровода</t>
  </si>
  <si>
    <t xml:space="preserve"> по улице М.Горького  с июня  месяца 2011 года</t>
  </si>
  <si>
    <t>26.07.  замена лампочек</t>
  </si>
  <si>
    <t>04.08.Заявка 1760 кв 6. Осмотр кровли на протекание, ремонт пеной трещин</t>
  </si>
  <si>
    <t>02.08.Пробивка канализации в подвале</t>
  </si>
  <si>
    <t>03.08.Осмотр подвальных помещений на предмет протекания</t>
  </si>
  <si>
    <t>03.08. Заявка 1749 кв 13. Нет воды, Осмотр, ревизия крана</t>
  </si>
  <si>
    <t>Денисов, Ерлин, Крупич, Конюшенко</t>
  </si>
  <si>
    <t>04.08.Заявка, замена кранов хвс в подвале</t>
  </si>
  <si>
    <t>23.08.Откачка воды из подвала</t>
  </si>
  <si>
    <t>Ерлин, Овсяников, Конюшенко</t>
  </si>
  <si>
    <t xml:space="preserve">  замена кабеля</t>
  </si>
  <si>
    <t>22.09.Подключение и отключение насоса для откачки воды</t>
  </si>
  <si>
    <t>06.09.Сварочные работы на лежаке отопления кв.12</t>
  </si>
  <si>
    <t>29.09.Устранение засоров канализационных трубопроводов в подвале</t>
  </si>
  <si>
    <t>Ерлин,Овсянников</t>
  </si>
  <si>
    <t>29.09. откачка воды из подвала, дератизация</t>
  </si>
  <si>
    <t>14.09.замена эл.лампочек</t>
  </si>
  <si>
    <t>28.09. подключение и отключение насоса</t>
  </si>
  <si>
    <t>31.10. Изготовление щита в подвал утепление подвала</t>
  </si>
  <si>
    <t>31.10. Утепление подвальных окон, утепление вентиляции</t>
  </si>
  <si>
    <t>12.10. осмотр системы отопления в подвальном помещении</t>
  </si>
  <si>
    <t>31.10. Утепление разводки отопления по чердаку</t>
  </si>
  <si>
    <t>12.10. Осмотр системы водоснабжения и канализации в подвале</t>
  </si>
  <si>
    <t>27.10.осмотр сетей канализации и водопровода</t>
  </si>
  <si>
    <t>Музыченко, Христофоров, Овсянников</t>
  </si>
  <si>
    <t>14.10. по заявке кв.8 замена лампочек</t>
  </si>
  <si>
    <t>02.11. заявка 2806, холодные батареи, осмотр</t>
  </si>
  <si>
    <t>14.11.заявка 2916 кв 6. осмотр, пробивка общедомовой канализации</t>
  </si>
  <si>
    <t>Овсянников, крупич</t>
  </si>
  <si>
    <t>11.11. Заявка 2902, замена лампочек</t>
  </si>
  <si>
    <t>07.12.Заявка 3147 кв7. Топят сверху. Осмотр, сотавлен акт обследования, в 14-00 выезд повторный, осмотр, сотавлен акт обследования</t>
  </si>
  <si>
    <t>16.12.Заявка 3244кв.10. Нет воды, осмотр, в 7 квартире перекрыт кран</t>
  </si>
  <si>
    <t>19.12.Заявка 3269кв 10. Нет воды, осмотрено в кв 7 кран открыт, в кв 10 нет дома</t>
  </si>
  <si>
    <t>21.12.Заявка кв 6. Демонтаж унитаза, очистка унитаза</t>
  </si>
  <si>
    <t>Христофороф, Ерлин</t>
  </si>
  <si>
    <t>21. Заявка кв 16. Повторно течь унитаза, устранение течи</t>
  </si>
  <si>
    <t>08.12.Заявка 3164  кв9. Нет света.Ревизия элщитов, замена лампочек</t>
  </si>
  <si>
    <t>27.02.Уборка снега с крыши, удаление сосулек</t>
  </si>
  <si>
    <t>03.02.Нет напора воды. Осмотр, замер давления хв, составление акта</t>
  </si>
  <si>
    <t>06.02. осмотр подвала на протекание хол.воды</t>
  </si>
  <si>
    <t>07.02.Заявка кв 7. Нет воды</t>
  </si>
  <si>
    <t>13.02.Обход квартир 9,12,1, замер давления, составление актов</t>
  </si>
  <si>
    <t>Матузов, Ерлин</t>
  </si>
  <si>
    <t>14.02.Заявка кв 7. Слабый напор воды. Проверка давления по стояку</t>
  </si>
  <si>
    <t>22.02.Заявка 79, кв.14. Замена эл.ламп 4 шт</t>
  </si>
  <si>
    <t>02.03. Заявка кв 1. Пробивка канализации</t>
  </si>
  <si>
    <t>02.04.Заявка 315, кв 1-4. Течь водопровода на кухне. Слесрно-сварочные работы</t>
  </si>
  <si>
    <t>02.04.Заявка 289, кв.16. Засор кух. Канализации, установлен воздухоотводник на канализацию, смонтр из кан трубы д50-2м</t>
  </si>
  <si>
    <t>08.04.Заявка 351 кв16. Под мойкой течь. Обследовано течь гибкой подводки (хозяева устраили самостоятельно)</t>
  </si>
  <si>
    <t>Угрюмов</t>
  </si>
  <si>
    <t>09.04. Заявка 360 кв.9. Течет канализация, обследовано, необходима замена труб канализации в ванной и на кухне</t>
  </si>
  <si>
    <t>Ерлин, Овсянников, Угрюмов</t>
  </si>
  <si>
    <t>10.04. Заявка 55. кв.9. Замена сетей канализации д 50 (чугун на пластик) 2 п.м.</t>
  </si>
  <si>
    <t>платная</t>
  </si>
  <si>
    <t>10.04.Не горит на улице лампочка. В светильнике произведена замена патрона и эл.лампы</t>
  </si>
  <si>
    <t>05.05.Осмотр инженерных сетей перед праздничными днями</t>
  </si>
  <si>
    <t>сауков, Денисов, Конюшенко, Музыченко, Ерюков</t>
  </si>
  <si>
    <t>12.05. Осмотр подвалов, системы отопления</t>
  </si>
  <si>
    <t>Музыченко, Овсянников, Денисов, Конюшенко</t>
  </si>
  <si>
    <t>18.05. Осмотр сети канализации</t>
  </si>
  <si>
    <t>Денисов, Овсянников, музыченко</t>
  </si>
  <si>
    <t>24.05. Осмотр эл.щитов</t>
  </si>
  <si>
    <t>29.05. Заявка 268 кв 8. Нет света на 1 этаже. Замена ламп 1 шт</t>
  </si>
  <si>
    <t>29.05. Осмотр эл.щитовых</t>
  </si>
  <si>
    <t>Конюшенко,  Матузов</t>
  </si>
  <si>
    <t>Музыченко, Конюшенко, Сауков</t>
  </si>
  <si>
    <t xml:space="preserve"> по улице М.Горького  в июня месяца 2011 года</t>
  </si>
  <si>
    <t>14.06.11г. Заявка кв6/9 Обследование кан.стояка</t>
  </si>
  <si>
    <t>15.06.11г.Заявка кв 6,9.Демонтаж, монтаж, очистка канализационного стояка</t>
  </si>
  <si>
    <t xml:space="preserve">26.08.Заявка 1947. кв3. Осмотр </t>
  </si>
  <si>
    <t>27.08.Прочистка канализации по заявке 1947.</t>
  </si>
  <si>
    <t>Конюшенко, Ставицкий, Ерлин</t>
  </si>
  <si>
    <t>в июле работы не производились</t>
  </si>
  <si>
    <t>02.09. пробивка канализации из дома до колодца</t>
  </si>
  <si>
    <t>Христофоров, Крупич, Овсянников</t>
  </si>
  <si>
    <t>09.09.замена эл.лампочек</t>
  </si>
  <si>
    <t>31.10.Утепление подвальных окон</t>
  </si>
  <si>
    <t>31.10. Утепление вентиляции</t>
  </si>
  <si>
    <t>27.10. Осмотр системы отопления</t>
  </si>
  <si>
    <t>31.10.Утепление разводки отопления по чердаку</t>
  </si>
  <si>
    <t>Музыченко, Конюшенко,Овсянников</t>
  </si>
  <si>
    <t>16.11.Забит канализационный стояк, прочистка</t>
  </si>
  <si>
    <t>17.11.Заявка 2945 кв5. Засор внутридомовой канализации.Изготовление шлямбура из трубы д20-д40 для прочистки стояка, разбор соединений.</t>
  </si>
  <si>
    <t xml:space="preserve">Музыченко, Денисов </t>
  </si>
  <si>
    <t>24.11. Заявка 2950 кв 5. Засор кана.стояка, вскрытие бетонного перекрытия</t>
  </si>
  <si>
    <t>25.11.Заявка 2950. Замена 5 м кан.сети, проиведен разде общей канализации на кв.5 кв2.</t>
  </si>
  <si>
    <t>18.11.Заявка 2979 кв 12. Осмотр элщитов , замена ламп 2шт</t>
  </si>
  <si>
    <t>05.12.кв 17. нет воды в бачке, прочистка засора.</t>
  </si>
  <si>
    <t>Денисов,</t>
  </si>
  <si>
    <t>12.12.Заявка. Нет напора воды, перкрытие хвс, ревизия крана основного на дом</t>
  </si>
  <si>
    <t>14.12.Нет напора воды. Работа по водопроводу, чистка трубы, Перекрытие хол.воды. Снятие кран буксы, сварочные работы</t>
  </si>
  <si>
    <t>Христофоров, Конюшенко, Музыченко, Сауков</t>
  </si>
  <si>
    <t>20.12. Нет напорв воды. Резка трубы, очистка трубы шомполом</t>
  </si>
  <si>
    <t>Конюшенко, Музыченко, Сауков</t>
  </si>
  <si>
    <t>21.12.Замена канализационной трубы общей</t>
  </si>
  <si>
    <t>10.02.Заявка 3672 (кв12). Нет света в подъезде, замена эл.лампочек 3 шт</t>
  </si>
  <si>
    <t>16.02.Заявка 41 (1,2,3кв). Замена лампочек 4 шт</t>
  </si>
  <si>
    <t>05.03.Заявка нет вода в доме, устранение течи на трассе</t>
  </si>
  <si>
    <t>Денисов, Христофоров, Конюшенко</t>
  </si>
  <si>
    <t>03.04.кв.11 (госстрах) осмотр сетей хвс</t>
  </si>
  <si>
    <t>11.04.Заявка 368 кв 14. Засор кан.сетей, прочистка кан.стояка</t>
  </si>
  <si>
    <t>12.04. Заявка кв 14 (госстрах). Засор канализации, прочистка тросом кух.стояка канализации</t>
  </si>
  <si>
    <t>Ерлин, Овсянников, Конюшенко</t>
  </si>
  <si>
    <t>12.05.Замена шифера 1 лист</t>
  </si>
  <si>
    <t>21.0611г.Заявка, осмотр и трещин на крыше</t>
  </si>
  <si>
    <t>04.0512гЗаявка 133 кв 5. Сорвало шифер с крыши. Лист шифера установлен на место</t>
  </si>
  <si>
    <t>02.05.Заявка 60 кв11. Нет воды. Обследовано вода в квартиру не поступает</t>
  </si>
  <si>
    <t>23.05. кв 11. Замена сетей хвс</t>
  </si>
  <si>
    <t>24.05. Заявка 237 кв 11. Нет воды, замена водопровода 8 п/м</t>
  </si>
  <si>
    <t>28.05. Заявка 255 кв 9. Забита канализация. Прочистка троссом из колодца до дома</t>
  </si>
  <si>
    <t>Ерлин, Овсянников, Денисов</t>
  </si>
  <si>
    <t>23.05. Заявка 233 кв 12. Нет света в подъедах. Замена элламп 4 шт</t>
  </si>
  <si>
    <t xml:space="preserve"> по улице М.Горького  с июня 2011 года</t>
  </si>
  <si>
    <t>06.2011Техническое обслуживание внутренних систем ТВС,  ХВС и канализации</t>
  </si>
  <si>
    <t>02.06.замена лампочек</t>
  </si>
  <si>
    <t>26.07.замена лампочек</t>
  </si>
  <si>
    <t>12.08. Заявка 1843 кв 11. Прочистка канализационной трубы в ванной</t>
  </si>
  <si>
    <t>Овсянников, Крупич, Денисов, Сауков</t>
  </si>
  <si>
    <t>04.08.замена лампочек</t>
  </si>
  <si>
    <t>09.09.установка замков на электрощитовые</t>
  </si>
  <si>
    <t>Музыченко, Конюшенко, Овсянников</t>
  </si>
  <si>
    <t>14.10. по заявке кв.9 Замена лампочек</t>
  </si>
  <si>
    <t>14.11. Заявка 2920 кв1. Осмотр, пробивка общедомовой канализации</t>
  </si>
  <si>
    <t>Овсянников, Крупич</t>
  </si>
  <si>
    <t>12.12.Заявка 3197 кв 10. Выбивает автомат, ревизия элщита, ремонт нулевой колодки, замена автомата</t>
  </si>
  <si>
    <t>14.02.Заявка, пробивка канализации от колодца к дому</t>
  </si>
  <si>
    <t>13.02.Заявка № 20. кв 9. Замена эл.лампочек, осмотр эл.щитов</t>
  </si>
  <si>
    <t>14.05.Заявка 168. Забита канализация, прочистка тросом канализационных выходов из дома до колодцев</t>
  </si>
  <si>
    <t>Ерлин, Овсянников, Музыченко</t>
  </si>
  <si>
    <t>17.05. Заявка 193 кв 17. Искрит в щитке. Осмотр, ревизия эл.щита, демонтаж нулевой колодки на квартиру. Замена нулевой колодки.</t>
  </si>
  <si>
    <t>с июня 2011 годав январе  месяце 2012 года</t>
  </si>
  <si>
    <t>июнь 2011 года, выкос травы</t>
  </si>
  <si>
    <t>08.06.Установка двери в подвал</t>
  </si>
  <si>
    <t>15.06.Замена входных дверей в подвал</t>
  </si>
  <si>
    <t>16.06.Установка дверей в подвал</t>
  </si>
  <si>
    <t>28.06. Изготовление решоток на подвальных окнах</t>
  </si>
  <si>
    <t>03.06. Заявка, пробивка канализационной трубы</t>
  </si>
  <si>
    <t>Конюшенко,  Музыченко, Христофоров</t>
  </si>
  <si>
    <t>03.06. Заявка нет воды., прочисткап трубы и гибкой проводки</t>
  </si>
  <si>
    <t>06.06. Заявка запах канализации, пробивка центрального стояка</t>
  </si>
  <si>
    <t>07.06.Осмотр инженерных сетей на определение стояков для ремонта</t>
  </si>
  <si>
    <t>Денисов, Ставицкий</t>
  </si>
  <si>
    <t>09.06.Демонтаж отопления в подвале</t>
  </si>
  <si>
    <t>Сауков, Музыченко, Христофоров, Овсянников</t>
  </si>
  <si>
    <t>10.06. Демонтаж сетей отопления по подвалу</t>
  </si>
  <si>
    <t>10.06. Устранение течи хвс по стояку в подвале</t>
  </si>
  <si>
    <t>14.06.Завозка и разноска труб по подвалу, демонтаж отопления по подвалу</t>
  </si>
  <si>
    <t>Христофоров, Музыченко, Овсянников, Конюшенко, Сауков</t>
  </si>
  <si>
    <t>14.06. Заявка кв 32.Обследование  стояка хвс</t>
  </si>
  <si>
    <t>15.06. Демонтаж труб отопления</t>
  </si>
  <si>
    <t>Овсянников, Сауков</t>
  </si>
  <si>
    <t>15.06. Заявка кв19. Отключение и подключения стояка, прочистка крана</t>
  </si>
  <si>
    <t>17.06.Заявка кв 32. Ремонт стояка хвс.</t>
  </si>
  <si>
    <t>Ерлин, Овсянников,Сауков</t>
  </si>
  <si>
    <t>20.06. Ремонт инженерных сетей</t>
  </si>
  <si>
    <t>21.06. Заявка кв 54. Регулировка смывного бачка</t>
  </si>
  <si>
    <t>21.06. Осмотр подвала</t>
  </si>
  <si>
    <t>22.06.Заявка кв 2. Очистка стояка хвс, замена крана</t>
  </si>
  <si>
    <t>Овсянников, Денисов</t>
  </si>
  <si>
    <t>22.06.Демонтаж труб в 4 подвале, крепление труб отопления лежаков, удаление задвижек</t>
  </si>
  <si>
    <t>Крупич, Христофоров, Овсянников, Денисов</t>
  </si>
  <si>
    <t>23.06.Крепление трубы по подвалу</t>
  </si>
  <si>
    <t>Музыченко, Овсянников, Конюшенко, Сауков</t>
  </si>
  <si>
    <t>23.06.Заявка кв.6. Перепущен стояк холодной воды</t>
  </si>
  <si>
    <t>23.06. Заявка кв.9. Засор канализации</t>
  </si>
  <si>
    <t>24.06. Крепление труб по подвалу</t>
  </si>
  <si>
    <t>Музыченко,  Овсянников,   Конюшенко, Сауков, Денисов</t>
  </si>
  <si>
    <t>27.06.Крепление труб по подвалу</t>
  </si>
  <si>
    <t>Крупич, Христофоров,Музыченко, Сауков</t>
  </si>
  <si>
    <t>28.06. Заявка кв 31.Замена сгона на отопление</t>
  </si>
  <si>
    <t>28.06.Установка арматуры по подвалу</t>
  </si>
  <si>
    <t>Христофоров,Овсянников,Конюшенко</t>
  </si>
  <si>
    <t>29.06. Подготовка к сварочным работам</t>
  </si>
  <si>
    <t>Крупич, Музыченко, Овсянников, Конюшенко, Сауков, Денисов</t>
  </si>
  <si>
    <t>30.06.Ремонт инженерных сетей</t>
  </si>
  <si>
    <t>08.06.Установка эл.розетокпо подвалу</t>
  </si>
  <si>
    <t>09.06. Ревизия эл.щитов по дому</t>
  </si>
  <si>
    <t>16.06.Осмотр, ревизия эл.щитов на лестничной клетки</t>
  </si>
  <si>
    <t>21.06.Заявка кв 51. Замена автомата</t>
  </si>
  <si>
    <t>21.06.Подвал подключение эл.розеток, 4х шт по подвалу</t>
  </si>
  <si>
    <t>июль 2011гТехобслуживание  конструктивных частей жилого дома</t>
  </si>
  <si>
    <t>июль 2011г.ремонт инженерных сетей</t>
  </si>
  <si>
    <t>11.08.Очистка подвала от мусора</t>
  </si>
  <si>
    <t>12.08.Испытание теплотрассы</t>
  </si>
  <si>
    <t xml:space="preserve">15.08.Опрессовка системы отопления, </t>
  </si>
  <si>
    <t>05.08.Пробивка канализации по подвалу</t>
  </si>
  <si>
    <t>08.08.Установка заглушек на сбросники по подвалу</t>
  </si>
  <si>
    <t>09.08.Заявка кв49. Прочистка крана на стояке хвс</t>
  </si>
  <si>
    <t>10.08.Установка заглушек, кранов</t>
  </si>
  <si>
    <t>11.08.Окраска труб отопления</t>
  </si>
  <si>
    <t>18.08.Заявка кв3. Устранение течи стояка</t>
  </si>
  <si>
    <t>30.08.Заявка кв 32. Течь воды из раковины, осмотр, устранено</t>
  </si>
  <si>
    <t>30.08. Осмотр канализации, осмотр подвала</t>
  </si>
  <si>
    <t>31.08.Заявка кв 32. Сварочные работы на стояках хвс</t>
  </si>
  <si>
    <t>03.08.Ревизия основного щита в подвале</t>
  </si>
  <si>
    <t>16.08.Заявка кв 35. Замена эл.лампочек</t>
  </si>
  <si>
    <t>22.09.утепление межпанельных швов</t>
  </si>
  <si>
    <t>30.09. утепление окон подвала</t>
  </si>
  <si>
    <t>05.09.замена стояка отопления кв 7</t>
  </si>
  <si>
    <t xml:space="preserve">15.09.Осмотр водопровода, канализации </t>
  </si>
  <si>
    <t>08.09.обследование по замене разводки по квартире 32</t>
  </si>
  <si>
    <t>14.09. замена канализации в подвале</t>
  </si>
  <si>
    <t>26.09.Подчеканка раструбов канализационных труб в подвале</t>
  </si>
  <si>
    <t>08.09.ревизия эл.щита в подъезде, замена лампочек</t>
  </si>
  <si>
    <t>20.09. замена эл.лампочек 4 подъезд</t>
  </si>
  <si>
    <t>03.10. Утепление подвальных окон</t>
  </si>
  <si>
    <t>05.10. Утепление подвальных окон</t>
  </si>
  <si>
    <t>18.10. Установка пружин на входные двери</t>
  </si>
  <si>
    <t>18.10. Остекление окон в подъезде</t>
  </si>
  <si>
    <t>04.10. Осмотр стояков отопления на предмет открытия кранов на запуск</t>
  </si>
  <si>
    <t>05.10. Перепуск стояков отопления</t>
  </si>
  <si>
    <t>06.10. Перепуск стояков отопления</t>
  </si>
  <si>
    <t>Музыченко,  Христофоров</t>
  </si>
  <si>
    <t>07.10. Перепуск стояков отопления по заявке в подвале</t>
  </si>
  <si>
    <t>10.10.Перепуск стояков отпления по заявке кв.3,6</t>
  </si>
  <si>
    <t>11.10. Перепуск стояков отопления по заявке в подвале</t>
  </si>
  <si>
    <t>Крупич, Ерлин</t>
  </si>
  <si>
    <t>13.10.Закрые задвижек надом, запуск отопления</t>
  </si>
  <si>
    <t>14.10.Установка манометров, термометров</t>
  </si>
  <si>
    <t>18.10. Перепуск стояков отопления по заявке кв.37,кв 59</t>
  </si>
  <si>
    <t>19.10. перпуск стояков отопления по заявке</t>
  </si>
  <si>
    <t>20.10.Перепуск отопления</t>
  </si>
  <si>
    <t>20.10.Установка манометров, датчиков, термометров, осмотр стояков отопления</t>
  </si>
  <si>
    <t>21.10. осмотр стояков отопления в подвале</t>
  </si>
  <si>
    <t>04.10. по заявке кв 32.Опись материалов для замены стояка и разводки по квартире хвс</t>
  </si>
  <si>
    <t>06.10.Осмотр канализационных труб на протекание</t>
  </si>
  <si>
    <t>10.10.пробивка канализации в подвале</t>
  </si>
  <si>
    <t>11.10.кв 32.замена стояка хвс из подвала в квартиру</t>
  </si>
  <si>
    <t>20.10. осмотр стояков канализации</t>
  </si>
  <si>
    <t>21.10. осмотр системы канализации</t>
  </si>
  <si>
    <t>03.10.Осмотр и ревизия общего эл.щита</t>
  </si>
  <si>
    <t>28.11.Установка замков на подвалы</t>
  </si>
  <si>
    <t>Ерлин, сауков</t>
  </si>
  <si>
    <t>28.11.Заявка 3067 кв 10.Осмотрено, перепущены стояки, все стояки в рабочем состоянии</t>
  </si>
  <si>
    <t>Ерлин, Сауков</t>
  </si>
  <si>
    <t>13.11. Заявка 2921 кв25. Осмотр канализационных сетей</t>
  </si>
  <si>
    <t>14.11.Заявка 2921 кв25. Пробивка общедомовой канализации 1,2,3 подвал, установка заглушек</t>
  </si>
  <si>
    <t>22.11. Заявка 3028. 2 подвал.Засор канализации. Прочистка канализации, чеканка тройника сальниковой набивкой</t>
  </si>
  <si>
    <t>Ерлин, Христофоров, Сауков</t>
  </si>
  <si>
    <t>07.11 по заявке 2852 кв 46. Замена пакетника, установка автомата, ревизия эл.щита.</t>
  </si>
  <si>
    <t>18.11.Заявка 2982 кв25. Осмотр освещения. Замена 10 ламп.Осмотр щитов</t>
  </si>
  <si>
    <t xml:space="preserve">06.12.Заявка кв 39.Обследование квартиры на предмет затопления </t>
  </si>
  <si>
    <t>07.12.Заявка 3132,3133,3134,3139, кв 17,18,24,30. Обход квартир, определение хол.батарей, перепуск стояков, обход квартир</t>
  </si>
  <si>
    <t>Обсянников, Ерлин</t>
  </si>
  <si>
    <t>02.12.Заявка запах канализации 4 подъезд. Осмотрено, течи нет</t>
  </si>
  <si>
    <t>13.12.Заявка 3204 кв 23. Замена автомата, ремонт замка элщита.</t>
  </si>
  <si>
    <t>15.02.Уборка тепловых узлов в подвале</t>
  </si>
  <si>
    <t>28.02. Течь отопления в подвале, сварочные работы по отоплению</t>
  </si>
  <si>
    <t>Денисов, сауков</t>
  </si>
  <si>
    <t>29.02.Перепуск стояков отоаления</t>
  </si>
  <si>
    <t>28.02. Заявка нет воды. Очистка стояка хвс.</t>
  </si>
  <si>
    <t>Овсянников, Христофоров, Ерлин</t>
  </si>
  <si>
    <t>07.03.Удаление сосулек с крыш</t>
  </si>
  <si>
    <t>Христофоров, Ерлин, Овсянников, Конюшенко, Угрюмов</t>
  </si>
  <si>
    <t>11.03.Удаление сосулек с крыш</t>
  </si>
  <si>
    <t>12.03.Удаление сосулек с крыш</t>
  </si>
  <si>
    <t>16.03.Удаление сосулек с крыш</t>
  </si>
  <si>
    <t>14.03.Заявка 191. Нет воды, устранено</t>
  </si>
  <si>
    <t>16.03. Осмотр канализационных колодцев, пробивка канализации</t>
  </si>
  <si>
    <t>15.03. Заявка. Искрит в щите. Ревизия щита в подвале,</t>
  </si>
  <si>
    <t>16.03. Осмотр всех эл.щитов (по подъездам, по этажам)</t>
  </si>
  <si>
    <t>11.04. Открывание окон подвалов</t>
  </si>
  <si>
    <t>Овсянников, Конюшенко</t>
  </si>
  <si>
    <t>03.04. Плановый осмотр сетей отопления в подвале</t>
  </si>
  <si>
    <t>10.04. Осмотр канал.сетей до выпусков из подвалов</t>
  </si>
  <si>
    <t>Музыченко, Сауков, Ерлин, Конюшенко, Овсянников</t>
  </si>
  <si>
    <t>11.04.Заявка. Течь канализации, установка заглушек на канализации</t>
  </si>
  <si>
    <t>04.04. Плановый осмотр канализации</t>
  </si>
  <si>
    <t>19.04.Осмотр сетей канализации, установка заглушки</t>
  </si>
  <si>
    <t>27.04.Заявка 86 кв.46.запх канализации в подвале, осмотр течи нет</t>
  </si>
  <si>
    <t>14.05. Подготовка дома к остановке подачи отопления</t>
  </si>
  <si>
    <t>03.05. Плановый осмотр канализации</t>
  </si>
  <si>
    <t>Овсянников, Конюшенко, Ерлин</t>
  </si>
  <si>
    <t>04.05.Осмотр подвальных коммуникаций (водоснабжение, теплоснабжение, канализация)</t>
  </si>
  <si>
    <t>Сауков, Музыченко, Ерлин, Овсянников, Денисов</t>
  </si>
  <si>
    <t>06.05.Заявка 144 кв 3. В туалете прорвало трубу. Засор канализации во 2 ом подвале прочищено</t>
  </si>
  <si>
    <t>10.05.Восстановление и запуск летних водопроводов</t>
  </si>
  <si>
    <t>Конюшенко, Музыченко, Ерлин, Овсянников, Денисов</t>
  </si>
  <si>
    <t>16.05. Осмотр инженерных сетей в подвале</t>
  </si>
  <si>
    <t>Музыченко, ерлин</t>
  </si>
  <si>
    <t>18.05. Осмотр эл.щитовых</t>
  </si>
  <si>
    <t>24.05. Заявка 238 кв 35. Нет света в подъездах. Замена 2 ламп</t>
  </si>
  <si>
    <t>24.05. осмотр щитов подвала</t>
  </si>
  <si>
    <t>25.05. Замена 2 ламп</t>
  </si>
  <si>
    <t>29.05. Заявка 267 кв 52. Нет света при входе в подъезд. Замена 5 эл ламп</t>
  </si>
  <si>
    <t xml:space="preserve"> по улице Лесная  с июня 2011 года</t>
  </si>
  <si>
    <t>июнь 2011г.выкос травы</t>
  </si>
  <si>
    <t>01.06.Заявка кв 8.Течь кан.стояка, демонтаж унитаза, демонтаж торйника</t>
  </si>
  <si>
    <t>01.06. кв69,12.Плохой напор воды. Промывка стояка хвс</t>
  </si>
  <si>
    <t>02.06.Заявка кв 8. Монтаж канализационного стояка с разводкой</t>
  </si>
  <si>
    <t>Крупич, Денисов</t>
  </si>
  <si>
    <t>06.06.Запах канализации. Пробивка центр.канализации</t>
  </si>
  <si>
    <t>06.06.Заявка кв 7,10.Устранение течи в сифоне  кв 10</t>
  </si>
  <si>
    <t>09.06. Замена стояков хвс</t>
  </si>
  <si>
    <t>10.06.Заявка , прочистка канализации</t>
  </si>
  <si>
    <t>09.06. Заявка 31,34,37. Осмотр, определение и отбор материала, демонтаж и монтаж стояков хвс</t>
  </si>
  <si>
    <t>16.06.Заявка кв34.31,37Перенос полотенцесушителей с демонтажом старых</t>
  </si>
  <si>
    <t>17.06.Заявка кв.31,34,37. Перенос полотенцесушителей</t>
  </si>
  <si>
    <t>Музыченко,Конюшенко</t>
  </si>
  <si>
    <t>27.06.Заявка кв 9. Демонтаж унитаза, установка унитаза</t>
  </si>
  <si>
    <t>16.06.Заявка. Замена эл.лампочек</t>
  </si>
  <si>
    <t>05.08.Заявка 1765 кв 13.Течет крыша, осмотр, составлен акт</t>
  </si>
  <si>
    <t>Ставицкий, Христофоров</t>
  </si>
  <si>
    <t>05.08.Заявка 1772 кв 59. Течет кровля на кухне.Осмотр, на крыше сухо, дома нет никого</t>
  </si>
  <si>
    <t>Христофоров, Ставицкий</t>
  </si>
  <si>
    <t>01.08. Переборка , прогрев сборок по отоплению</t>
  </si>
  <si>
    <t>Музыченко, Крупич, Овсяников, Сауков</t>
  </si>
  <si>
    <t>09.08.Установка заглушек на спускники</t>
  </si>
  <si>
    <t>16.08.Опресовка системы отопления</t>
  </si>
  <si>
    <t>17.08.Опресовка системы отопления</t>
  </si>
  <si>
    <t>09.12.Заявка кв 49. Прочистка крана стояка хвс</t>
  </si>
  <si>
    <t>09.08.Заявка, вскрытие кухонного стояка, осмотр на протекание</t>
  </si>
  <si>
    <t>10.08.Заявка 1829.Прочистка канализации в подвале 2 подъезда</t>
  </si>
  <si>
    <t>12.08.Заявка 1842 кв 9. Осмотр , работы на 16.08.</t>
  </si>
  <si>
    <t>15.08.Заявка 1853 кв 31.Прочистка канализации в подвале</t>
  </si>
  <si>
    <t>15.08.кв9. Замена крана на стояке хвс,</t>
  </si>
  <si>
    <t>16.08.Заявка 1842 кв.6. Замена кранов д 15 на стояках</t>
  </si>
  <si>
    <t>22.08.Заявка 1923 кв 51.Заливает кв 60.(не закрыт кран в туалете)Кран закрыт, осмотр квартир 57,54,51</t>
  </si>
  <si>
    <t>23.08.Заявка 1933 кв 22. Течь воды с потолка в спальне. Осмотр</t>
  </si>
  <si>
    <t>27.08.Заявка 1978 кв 16. Течь с потолка в ванной. Осмотр, в кв19 сухо, в кв 6 нет доступа.</t>
  </si>
  <si>
    <t>Ерлин, Ставицкий</t>
  </si>
  <si>
    <t>29.08. Заявка 1995 кв 50.Не поступает вода в смывной бак. Устранено</t>
  </si>
  <si>
    <t>29.08.Заявка кв 16. Осмотр канализационного стояка на предмет протекания</t>
  </si>
  <si>
    <t>16.08.Заявка 1879 кв20. Запланировано на 19.08 после обеда</t>
  </si>
  <si>
    <t>17.08.Заявка 1876 кв 23.Зымыкание провода в квартире, устранено</t>
  </si>
  <si>
    <t>17.08.Запитка системы отопления по подвалу. Ревизия щитовой в подвале, работа с насосами</t>
  </si>
  <si>
    <t>19.08.Заявка 1904 кв 20. Выезд электрика 22.08.нет никого дома</t>
  </si>
  <si>
    <t>22.08.Заявка 1918. Замена эл.лампочек 7 шт</t>
  </si>
  <si>
    <t>22.09. утепление межпанельных швов</t>
  </si>
  <si>
    <t>30.09.устранение течи на кран-буксах</t>
  </si>
  <si>
    <t>15.09.Осмотр водопровода, канализации  в подвале</t>
  </si>
  <si>
    <t>21.09. заявкакв 21 осмотр, течь сами устранили</t>
  </si>
  <si>
    <t>06.09.работы по кан стояку кв 6, 3</t>
  </si>
  <si>
    <t>Конюшенко, Денисов</t>
  </si>
  <si>
    <t>07.09.работа по вскрытию кан.стояка кв.3</t>
  </si>
  <si>
    <t>Христофоров,Денисов</t>
  </si>
  <si>
    <t>12.09.замена эл.лампочек (кв51)</t>
  </si>
  <si>
    <t>23.09.замена автомата ( кв.30)</t>
  </si>
  <si>
    <t>05.10. Перепуск стояков отопления по заявке в подвале</t>
  </si>
  <si>
    <t>06.10. Перепуск стояков отопления по заявке в подвале</t>
  </si>
  <si>
    <t>07.10.Перепуск стояков отопления в подвале</t>
  </si>
  <si>
    <t>18.10. Перепуск стояков отопления по заявке</t>
  </si>
  <si>
    <t>21.10. осмотр стояков отопления</t>
  </si>
  <si>
    <t>27.10. кв 14,отключение и подключение стояка ХВС. Замена резьб</t>
  </si>
  <si>
    <t>11.10. кв 32,замена стояка хвс из подвала в кв 32</t>
  </si>
  <si>
    <t>28.10. Пробивка системы канализации по подвалу</t>
  </si>
  <si>
    <t>31.10. заявка кв.14., устранение течи крана на стояке хвс, с отключением стояка</t>
  </si>
  <si>
    <t>07.10. по заявке кв.46, замена элюлампочек, ревизия эл.щитов по этажам</t>
  </si>
  <si>
    <t>21.10. по заявке кв.48 замена лампочек</t>
  </si>
  <si>
    <t>03.11.заявка 2821, осмотр, замер, установка стекла</t>
  </si>
  <si>
    <t>21.11.Заявка 3003 кв60. Нет стекла. Произведены замеры , вырезано стекло</t>
  </si>
  <si>
    <t>Музыченко, Сауов</t>
  </si>
  <si>
    <t>14.11.заявка 2930 кв 47.нет тепла, перепуск стояка отопления</t>
  </si>
  <si>
    <t>14.11.Заявка 2915 кв60. Чуть теплые батареи. Составлен акт . Заявителя нет дома</t>
  </si>
  <si>
    <t>Кривенчук</t>
  </si>
  <si>
    <t>09.11. по заявке кв2. осмотр и приобретение материалов для замены стояка</t>
  </si>
  <si>
    <t>17.11.Заявка 2978 кв 43. Бежит вода из под ванны., Прочистка центр.канализацонного стояка</t>
  </si>
  <si>
    <t>21.11.заявка 2992. кв 50. В водопровод поступает вода из отопления. Осмотр, в 47 кв нет хозяев</t>
  </si>
  <si>
    <t>21.11.заявка 3009 кв 56.Течь в анной. Перкрыт стояк,хвс, установка гибкой подводки</t>
  </si>
  <si>
    <t>17.11.Заявка 2972.Нет света в подъездах. Замена 15 ламп, осмотр щитов</t>
  </si>
  <si>
    <t>13.12.Заявка 3208 кв 43. Выезд на осмотр, требуется замена гибкой подводки</t>
  </si>
  <si>
    <t>13.12.По заявке 3208. Установка гибкой подводки, с заменой крана</t>
  </si>
  <si>
    <t>06.02.Заявка 3647 кв 13. Сильно течет с потолка. Обследовано- таяние куржака в коробе</t>
  </si>
  <si>
    <t>08.02.Заявка 3683 (кв4), течь канализации</t>
  </si>
  <si>
    <t>09.02.Заявка 3667 (кв 42). Нет хв. Замена 3х кранов на стояках</t>
  </si>
  <si>
    <t>10.02.Заявка. Пробивка канализации в подвале</t>
  </si>
  <si>
    <t>16.02.Заявка 42. Засор канализации, прочистка канализации</t>
  </si>
  <si>
    <t>Ерлин, Христофоров, Денисов</t>
  </si>
  <si>
    <t>07.02.Заявка 3643 кв.38. Не работает автомат, замена автомата</t>
  </si>
  <si>
    <t>15.02.Заявка, выбивает автомат, замена автомата</t>
  </si>
  <si>
    <t>15.02.Заявка 33 кв 24. Нет света на 2этаже, замена эл.лампочек</t>
  </si>
  <si>
    <t>16.02.Заявка 38 кв.7. Выбивает автомат, замена 2х автоматов</t>
  </si>
  <si>
    <t>01.03.в подвале течь, очистка канализации в подвале</t>
  </si>
  <si>
    <t>14.03. нет воды. Устранено</t>
  </si>
  <si>
    <t>угрюмов, Денисов</t>
  </si>
  <si>
    <t>9.03. Заявка. Установить светильники в тамбурах. Осмотр, выборка материала</t>
  </si>
  <si>
    <t>12.04. Заявка кв 27. Течь батареи в спальне. Осмотр, течь по резьбовому соединению, необходимы сварочные работы.</t>
  </si>
  <si>
    <t>13.04. Заявка кв 27. Проведены сварочные работы, заменены резьбы</t>
  </si>
  <si>
    <t>03.04. Плановый осмотр сетей канализации в подвале</t>
  </si>
  <si>
    <t>05.04.Заявка 344. Засор канализации в 4 подвале, прочищено</t>
  </si>
  <si>
    <t>25.04.Заявка 74 кв 17. Засор унитаза, пробивка общедомовой канализации</t>
  </si>
  <si>
    <t>26.04.Заявка 77 кв54. Из смывного бачка вылив. Вода. Регулировка арматуры</t>
  </si>
  <si>
    <t>26.04. Замена канализационного лежака 4 м подвал</t>
  </si>
  <si>
    <t>05.04.Заявка 342, кв 24. нет света в подъездах, замена лампочек 10шт</t>
  </si>
  <si>
    <t>12.04. Заявка кв 29. В доме нет света. Обследование отключение эл.щита, замена автомата 25А 1 шт, подключение эл.щита.</t>
  </si>
  <si>
    <t>12.04. кв. 30. Нет света. Замена автомата 25А, замена динрейки, подключение и проверка подачи электроэнергии</t>
  </si>
  <si>
    <t>20.04.Заявка 41 кв 51. замена эл.ламп 4 шт</t>
  </si>
  <si>
    <t>10.05.Заявка 148 3 подъезд. Засор канализации, прочистка троссом канализации</t>
  </si>
  <si>
    <t>11.05.Заявка 155 кв 49. Течь канализации в подъезде, прочищено троссом</t>
  </si>
  <si>
    <t>23.05. Заявка 235 кв 24. В 3м подъезде в подвале бежит вода, Осмотр, стоит канализация, прочистка троссом</t>
  </si>
  <si>
    <t xml:space="preserve">Денисов </t>
  </si>
  <si>
    <t xml:space="preserve">28.05. Заявка 256 кв 49. Заменить кран на стояке. Осмотр, замена крана отключение и подключение стояка хвс </t>
  </si>
  <si>
    <t>29.05. кв 49. Замена крана на сети хвс, отключение и подключение стояка</t>
  </si>
  <si>
    <t>03.05. Заявка 124 кв 24. Нет света во 2м подъезде, замена 2х ламп</t>
  </si>
  <si>
    <t>30.05.Заявка 274 кв 2. Течет вода возле унитаза. Осмотр: утечки не обнаружено.Система канализации и водоснабжения герметична</t>
  </si>
  <si>
    <t>30.05. кв 11.Замена стояка хвс</t>
  </si>
  <si>
    <t>Овсянников, Музыченко, Ерлин</t>
  </si>
  <si>
    <t>30.05. Замена эл.ламп 1 шт</t>
  </si>
  <si>
    <t xml:space="preserve"> по улице Пионерская    с июня 2011 года</t>
  </si>
  <si>
    <t>08.06.Заявка.Течь воды с вентиляции.Осмотр на чердаке, хозяев дома нет</t>
  </si>
  <si>
    <t>14.06.Осмотр подъездов по установке приборов отопленияю</t>
  </si>
  <si>
    <t>21.06.Заявка кв.6.Осмотр течи крыши, запенено</t>
  </si>
  <si>
    <t>23.06.Закрытие кранов отопления на дом</t>
  </si>
  <si>
    <t>30.06.Осмотр канализационных сетей</t>
  </si>
  <si>
    <t>30.06.Заявка, замена патрона, выключателя, эл.лампочек</t>
  </si>
  <si>
    <t xml:space="preserve">июль 2011Техническое обслуживание внутренней системы электроснабжения </t>
  </si>
  <si>
    <t>19.08.Погрузка и разгрузка кирпича на крышу дома</t>
  </si>
  <si>
    <t>24.08.Ремонт вытяжных колодцев</t>
  </si>
  <si>
    <t>Денисов, Христофоров, Овсяников</t>
  </si>
  <si>
    <t>10.08.Осмотр, подготовка к установке насоса</t>
  </si>
  <si>
    <t>Крупич,  Сауков</t>
  </si>
  <si>
    <t>12.08.Установка конвекторов в подъездах</t>
  </si>
  <si>
    <t>30.08.Подготовка к установке насоса на отопление на дом</t>
  </si>
  <si>
    <t>26.08. Заявка 1966. Устранение течи, замена крана</t>
  </si>
  <si>
    <t>Конюшенко, Музыченко, Овсянников, Ерюков</t>
  </si>
  <si>
    <t>31.08.Заявка, устранение течи на стояке хвс</t>
  </si>
  <si>
    <t>11.08.Подключение сварочного аппарата</t>
  </si>
  <si>
    <t>24.08. Освещение чердачного помещения, отключение</t>
  </si>
  <si>
    <t>29.08.Подключение и отключение сварочного аппарата</t>
  </si>
  <si>
    <t xml:space="preserve">31.08.Замер расстояния от щитовой до насоса по крыше и по стене дома </t>
  </si>
  <si>
    <t>10.10. заявка кв.12, прочистка гибкой подводки</t>
  </si>
  <si>
    <t>14.10. заявка, пробивка общей канализации</t>
  </si>
  <si>
    <t>15.12.Уборка снега от теплового колодца, устранение течи, осмотр теплотрассы</t>
  </si>
  <si>
    <t>16.02.Утепление входных дверей</t>
  </si>
  <si>
    <t>Денисов, Ерлин, Христофоров</t>
  </si>
  <si>
    <t>20.02.Уборка сосулек с крыши</t>
  </si>
  <si>
    <t>Овсянников, музыченко</t>
  </si>
  <si>
    <t>28.02.Удаление сосулек с крыши</t>
  </si>
  <si>
    <t>Христофоров, Денисов, Овсянников</t>
  </si>
  <si>
    <t>15.02. Заявка 37 кв 6. нет напряжения в розетках. Требуется замена розеток</t>
  </si>
  <si>
    <t>16.02.Заявка 45, кв 24. Нет света в подъезде, замена 4х лампочек</t>
  </si>
  <si>
    <t>20.04. Заявка 42. Снятие размеров тамбуров</t>
  </si>
  <si>
    <t>20.04. осмотр  эл.щитов</t>
  </si>
  <si>
    <t>25.04. Заявка 71 кв6. Замена ламп в подъезде</t>
  </si>
  <si>
    <t>17.05. Заявка 195 кв 9. Засор канализации в подъезде, пробивка троссом из дома в колодец</t>
  </si>
  <si>
    <t>19.05.Заявка 210 кв 10. В подъезде стоит вода, пробивка троссом выпуска канализации из дома в колодец</t>
  </si>
  <si>
    <t xml:space="preserve"> по улице Пионерская   с июня 2011 года</t>
  </si>
  <si>
    <t>июнь 2011 г.Водопровод, канализация и горячее водоснабжение</t>
  </si>
  <si>
    <t>30.07.Заявка 1715. кв 5. Осмотр течи в ванной</t>
  </si>
  <si>
    <t>июль 2011г.Водопровод, канализация и горячее водоснабжение</t>
  </si>
  <si>
    <t>19.08.Погрузка и разгрузка кирпича на козырьки</t>
  </si>
  <si>
    <t>23.08.Ремонт козырьков подъезддов</t>
  </si>
  <si>
    <t>Денисов, Христофоров, Овсянников, Конюшенко</t>
  </si>
  <si>
    <t>09.08.Замена конвекторов в подъезде</t>
  </si>
  <si>
    <t>10.08.Заявка кв 11. Замена крана маевского на батареи</t>
  </si>
  <si>
    <t>11.08.Замена отопления по подвалу</t>
  </si>
  <si>
    <t>12.08.Заявка 1838 кв.12. Замена приборов отопления</t>
  </si>
  <si>
    <t>01.08. Замена стояка хвс кв 5 заявка 1715.</t>
  </si>
  <si>
    <t>02.08. Заявка 1748 кв 5. Осмотр унитаза</t>
  </si>
  <si>
    <t>Конюшенко, Мезенцев</t>
  </si>
  <si>
    <t xml:space="preserve">03.08. Заявка 1747 , 1748 кв 5. Замена канализационных труб, замена унитаза </t>
  </si>
  <si>
    <t>10.08. Заявка 1827.кв 11.,замена вентиля на отоплении</t>
  </si>
  <si>
    <t>17.08.Изготовление короба на теплотрассе к дому</t>
  </si>
  <si>
    <t>18.08.Заявка кв 15.Овсещение подъезда, освещение над домом</t>
  </si>
  <si>
    <t>22.08.Заявка 1920 кв 2.. Замена автомата, распредкокобки</t>
  </si>
  <si>
    <t>05.10 осмотр протекания крыши над кв.16</t>
  </si>
  <si>
    <t>20.09.по заявке кв.9,4,3  замена лежака водопровода по квартире</t>
  </si>
  <si>
    <t>11.10. по заявке кв4. Замена эл.лампочек</t>
  </si>
  <si>
    <t>21.02.Заявка кв 10. Течь воды по лежаку, замена лежака хвс</t>
  </si>
  <si>
    <t>Сауков, Конюшенко</t>
  </si>
  <si>
    <t>22.02.Заявка 82, кв10. Течь водопровода, устранение течи стояка</t>
  </si>
  <si>
    <t>06.02.Заявка 3653. кв 9. Замена лампочек</t>
  </si>
  <si>
    <t>11.03. Уборка снега с крыши</t>
  </si>
  <si>
    <t>Денисов, Ерлин, Христофоров, Угрюмов</t>
  </si>
  <si>
    <t>12.03. Удаление сосулек с крыши</t>
  </si>
  <si>
    <t>Ерлин, Угрюмов, Христофоров</t>
  </si>
  <si>
    <t>07.03.кв 10, заявка, течь воды, устранение течи на лежаке</t>
  </si>
  <si>
    <t>16.05. Заявка 188 кв 1. Открыт канал.люк. Изготовлен щит из досок</t>
  </si>
  <si>
    <t>14.05.Заявка 173 кв 2,3. Засор канализации. Пробивка троссом канализации (стояка и лежака с чердака над кв 7,3)</t>
  </si>
  <si>
    <t>15.05. Заявка 179 кв 2. Засор канализации. Прочищено троссом через чердак</t>
  </si>
  <si>
    <t>19.05.Заявка 208 кв 2. Засор канализации, прочистка тросом стояка канализации</t>
  </si>
  <si>
    <t>20.05.Заявка 212 кв 2. Засор канализации, прочистка канализации тросом из квартиры</t>
  </si>
  <si>
    <t>25.05.Заявка 250 кв 2. Стоит канализация. Прочистка троссом с чердака дома по стояку</t>
  </si>
  <si>
    <t>Ерлин, Матузов</t>
  </si>
  <si>
    <t xml:space="preserve">14.05.осмотр эл.щитовых </t>
  </si>
  <si>
    <t>июнь 2011г.Водопровод, канализация и горячее водоснабжение</t>
  </si>
  <si>
    <t>11.08.Заявка 1832 кв 6.Течь воды по стене над кухней, запено</t>
  </si>
  <si>
    <t>26.08.Замена коньков  на крыше</t>
  </si>
  <si>
    <t>Денисов, Христофоров, Овсяников, Ерюков, Конюшенко</t>
  </si>
  <si>
    <t>10.08.Заявка 1824 кв 14.Заварить стояк в квартире</t>
  </si>
  <si>
    <t>06.08.Заявка 1796 кв 2. Засор канализации, прочищено</t>
  </si>
  <si>
    <t>30.08.Осмотр щитов, замена лампочек 4 шт, ревизия щитов, ремонт выключателя, установка настенного патрона</t>
  </si>
  <si>
    <t>06.07,09,0Текущий ремонт кровли из шифера, устройство лаза на крышу</t>
  </si>
  <si>
    <t>ерлин</t>
  </si>
  <si>
    <t xml:space="preserve"> по улице Пионерская    с июня месяца 2011 года</t>
  </si>
  <si>
    <t>02.11.Заявка 2802, нет воды в ванной, осмотр запланировано на 21.11.</t>
  </si>
  <si>
    <t>25.05. Ремонт кровли (замена  шифера 2 листа)</t>
  </si>
  <si>
    <t>Денисов, Ерлин, Музыченко</t>
  </si>
  <si>
    <t>21.05. Осмотр элщитов</t>
  </si>
  <si>
    <t xml:space="preserve"> по улице Пионерская    с июня месяца 2011 года </t>
  </si>
  <si>
    <t>20.06.Заявка 1 подъезд. Пробивка канализации</t>
  </si>
  <si>
    <t>Крупич, Музыченко, Конюшенко</t>
  </si>
  <si>
    <t>июль 2011г.Техобслуживание  конструктивных частей жилого дома</t>
  </si>
  <si>
    <t>03.07.Заявка 1757 кв6. Исрят счетчики, ревизия щита.</t>
  </si>
  <si>
    <t>19.08.Ремонт кровли</t>
  </si>
  <si>
    <t>Ерлин, Христофоров, Овсяников</t>
  </si>
  <si>
    <t>25.08.Замена коньков на кровле</t>
  </si>
  <si>
    <t>07.08.Заявка 1798 кв12. Перекрыть стояк отопления, перекрыто и слито</t>
  </si>
  <si>
    <t>Еконюшенко</t>
  </si>
  <si>
    <t>01.08.Заявка 1725 кв 10.Вырубает пакетник. Замена автомата, ревизия щита</t>
  </si>
  <si>
    <t>25.08.Заявка 1955 кв 10. Отключается пакетник. Замена автомата, ревизия эл.щита, протяжка контактов</t>
  </si>
  <si>
    <t>31.08.Заявка 2026 кв 10.Не поступает ток на водоподогреватель. Осмотр, сгорел водоподогреватель</t>
  </si>
  <si>
    <t>31.08.Заявка 2034 кв 12.Выбило автомат в щите.</t>
  </si>
  <si>
    <t>16.10. по заявке кв.34, вскрытие полов, осмотр системы хвс, накладка хомута, откачка воды</t>
  </si>
  <si>
    <t>03.10. по заявке 4. Подключение и отключение насоса для откачки воды</t>
  </si>
  <si>
    <t>13.10. по заявке кв10. Замена автомата</t>
  </si>
  <si>
    <t>11.11. Заявка 2891 кв13. Нет света в зале, выбило автолмаи в эл.щите</t>
  </si>
  <si>
    <t>05.12.Заявка 3102 кв 12.Осмотр, замена элпроводки</t>
  </si>
  <si>
    <t>18.01.Ремонт электропроводки</t>
  </si>
  <si>
    <t>27.02.Заявка кв9. Течь канализации, пробивка канализации</t>
  </si>
  <si>
    <t>Ерлин, Музыченко, Денисов, Христофоров</t>
  </si>
  <si>
    <t>03.02.Заявка 3618 кв.13. Осмотр эл.щита, напряжение есть, ревизия эл.щита</t>
  </si>
  <si>
    <t>05.03.Уборка снега с крыши</t>
  </si>
  <si>
    <t>18.04.Заявка кв 13. Остановка стояка, замена крана, запуск стояка</t>
  </si>
  <si>
    <t xml:space="preserve">23.04.Заявка 64. кв 12,10,9.Засор канализации, пробивка кан.внутридомой </t>
  </si>
  <si>
    <t>24.04. Пробивка канализации, откачка емкости, общедомовая кан.не пробита</t>
  </si>
  <si>
    <t>Овсян., Конюш., Ерлин</t>
  </si>
  <si>
    <t>25.04.Пробивка канализации, дезифекция техподполья</t>
  </si>
  <si>
    <t>28.04.Заявка 89 кв 15.Сливной бачок не держит воду. Обследвано, проведена замена вводного крана в квартире</t>
  </si>
  <si>
    <t>28.04.Заявка 97. В подвале вода. Проведена откачка воды из подвала, проведена дизенфекция</t>
  </si>
  <si>
    <t>Клнюшенко</t>
  </si>
  <si>
    <t>24.05. Ремонт кровли (запенивание)</t>
  </si>
  <si>
    <t>25.05. Ремонт кровли</t>
  </si>
  <si>
    <t>1.05. Заявка 107 кв 15. Засор канализации, прочищено</t>
  </si>
  <si>
    <t>Денисов, матузов</t>
  </si>
  <si>
    <t>03.05.Заявка 119, 123 кв 12,10.Засор канализации, пробивка троссом от дома до колодца  и до подвала, выезжали 2 раза</t>
  </si>
  <si>
    <t>Ремонт кровли</t>
  </si>
  <si>
    <t>02.06.Укладка коньков на крыше</t>
  </si>
  <si>
    <t>08.06.Слабый напор воды. Очистка водосчетчика на трубопроводе</t>
  </si>
  <si>
    <t>15.06.Заявка.Пробивка канализации с пром.колодца до выгреба</t>
  </si>
  <si>
    <t>04.08. Заявка 1770 кв 7. Течет крыша, осмотрено пропенено</t>
  </si>
  <si>
    <t>10.08.Ремонт кровли</t>
  </si>
  <si>
    <t>18.08.Ремонт кровли</t>
  </si>
  <si>
    <t>Денисов, Ерлин, Овсяников</t>
  </si>
  <si>
    <t>02.08. Очистка входного счетчика хвс</t>
  </si>
  <si>
    <t>12.08.Заявка 1841. Засор канализация, откачка из колодца насосом</t>
  </si>
  <si>
    <t>15.08.Пробивка канализации между выгребом и колодцем</t>
  </si>
  <si>
    <t>Музыченко, Ерлин, Христофоров, Конюшенков</t>
  </si>
  <si>
    <t>04.08.Заявка 1771, не работает эл.плита. Отгорание провода под штукатуркой в квартире</t>
  </si>
  <si>
    <t>06.08.Заявка 1790 кв.6. Нет света, Осмотр отгорание провода в квартире</t>
  </si>
  <si>
    <t>17.08.Заявка 1874 кв 16. Нет света. Замкнуло эл.плиту выбило автомат, замена автомата</t>
  </si>
  <si>
    <t>24.08.Заявка 1947 кв.9. Замкнула розетка. Отключение эл.розетки</t>
  </si>
  <si>
    <t>30.06.Осмотр освещению, замена лампочки 5 шт, изоляция, протяжка контактов</t>
  </si>
  <si>
    <t>12.10. пробивка канализации пром.колодцев</t>
  </si>
  <si>
    <t>21.10. Пробивка канализации тросом, пробивка спецтехникой</t>
  </si>
  <si>
    <t>29.02.Уборка снега с крыши</t>
  </si>
  <si>
    <t>Денисов, Христофоров, Овсянников, Ерлин</t>
  </si>
  <si>
    <t>10.02.Заявка  кв15. Обследование кв 15 по замене водопровода</t>
  </si>
  <si>
    <t xml:space="preserve">Конюшенко, </t>
  </si>
  <si>
    <t>13.02.Заявка кв 15.Замена стояка хвс</t>
  </si>
  <si>
    <t>Конюшенко, Музыченко, Овсянников, Сауков</t>
  </si>
  <si>
    <t>07.02.Заявка 3639 (8,4), нет света в квартирах, замена автомата</t>
  </si>
  <si>
    <t>10.02.Заявка 3686 (кв9). Нет света в подъезде, замена лампочек 4 шт</t>
  </si>
  <si>
    <t>20.04.заявка 49 кв 2. замена 2х эл.ламп</t>
  </si>
  <si>
    <t>23.04.Осмотр эл.щитов</t>
  </si>
  <si>
    <t>23.05. Откачка воды из подвала</t>
  </si>
  <si>
    <t xml:space="preserve"> Овсянников</t>
  </si>
  <si>
    <t>11.05. Установка розеток, освещение чердака</t>
  </si>
  <si>
    <t>27.09. Осмотр водопровода    в квартире по заявке кв.2</t>
  </si>
  <si>
    <t>20.09. замена эл.лампочек</t>
  </si>
  <si>
    <t>07.10. перепуск стояков отопления</t>
  </si>
  <si>
    <t>02.11.Утепление входных дверей (утеплитель, фанера)</t>
  </si>
  <si>
    <t>07.11.по заявке  2828 кв.4 обследование кв2,4,7  на предмет подтекания</t>
  </si>
  <si>
    <t>Ставицкий, Матузов</t>
  </si>
  <si>
    <t>19.12. Заявка 3258. Остекление окон</t>
  </si>
  <si>
    <t>19.12.Заявка 3258. кв 2. Осмотр, требуется замена унитаза</t>
  </si>
  <si>
    <t>21.02. Уборка снега с крыши</t>
  </si>
  <si>
    <t>Христофоров, Овсянников, Музыченко</t>
  </si>
  <si>
    <t>29.02.Заявка 113 кв.4. Замена гофры на унитазе, замена кранов на стояке хвс</t>
  </si>
  <si>
    <t>13.03.Удаление сосулек с крыши</t>
  </si>
  <si>
    <t>02.04.Очистка отмосток от снега</t>
  </si>
  <si>
    <t>04.04.Заявка 331 кв.7. Течь канализации. Разборка, сборка кан.лежака в туалете 1 м, установка манжеты</t>
  </si>
  <si>
    <t>Конюшенко, Угрюмов</t>
  </si>
  <si>
    <t>11.05. осмотр кровли, чердаков</t>
  </si>
  <si>
    <t>Конюшенко, Овсянников, Ерлин</t>
  </si>
  <si>
    <t>25.05. Ремонт кровли (замена  шифера 4 листа)</t>
  </si>
  <si>
    <t>21.05.Заявка 220 запах горелой изоляции в подъезде. Ремонт распредкоробки на площадке, установка сжимов 3 шт</t>
  </si>
  <si>
    <t>25.05. Заявка 249 кв 8. Нет света в квартире, включил автомат в квартире</t>
  </si>
  <si>
    <t>28.05.Заявка 249 .Подключить провод на крыше. Поключение кабеля на крыше</t>
  </si>
  <si>
    <t>29.05. Заявка 261 кв 8. Нет света в квартире. Осмотр, перегружена электросеть, стоит автомат 16А, произведена замена</t>
  </si>
  <si>
    <t xml:space="preserve"> по улице Пионерская   с июня месяца 2011 года</t>
  </si>
  <si>
    <t>30.06.Осмотр освещению, замена лампочки 1 шт</t>
  </si>
  <si>
    <t>25.10. Замена пола в подъезде</t>
  </si>
  <si>
    <t>26.10. Замена пола в подъезде</t>
  </si>
  <si>
    <t>24.02. Уборка снега с крыши</t>
  </si>
  <si>
    <t>Конюшенко, Ерлин, Христофоров</t>
  </si>
  <si>
    <t xml:space="preserve"> по улице Пионерская  с июня месяца 2011 года</t>
  </si>
  <si>
    <t>СВОДНЫЙ  АКТ ПРИЕМКИ</t>
  </si>
  <si>
    <t xml:space="preserve"> по улице  Гагарина   с июня месяца 2011 года</t>
  </si>
  <si>
    <t>24.06.Осмотр подвала</t>
  </si>
  <si>
    <t>22.08.Заявка 1924 кв 3. Замена лампочек 3шт</t>
  </si>
  <si>
    <t>21.10. осмотр подвала, чердака</t>
  </si>
  <si>
    <t>05.04.Заявка 329. Нет света на 2м этаже. Замена эл.ламп 1 шт</t>
  </si>
  <si>
    <t xml:space="preserve"> по улице  Гагарина  с июня месяца 2011 года</t>
  </si>
  <si>
    <t>09.02.Заявка 3687.Парит из подвала. Устранение течи отопления</t>
  </si>
  <si>
    <t>02.03.Заявка., парит из подвала. Устранение течи отопления в подвале</t>
  </si>
  <si>
    <t>Денисов, Конюшенко, Ерлин</t>
  </si>
  <si>
    <t>24.04.Заявка 70, кв3. Засор канализации. Пробивка домовой канализации до промеж.колодца</t>
  </si>
  <si>
    <t>05.04.Заявка 339 кв.9. нет света в подъезде, замена лампочек 1шт</t>
  </si>
  <si>
    <t>09.05.Заявка 145 кв 7. Течь водопроводной трубы.Замена крана на стояке, закрытие и открытие стояка</t>
  </si>
  <si>
    <t>25.05. Заявка 243 кв 2.Нет света в квартире, устранено отгорел провод в щитке</t>
  </si>
  <si>
    <t>25.05. осмотр эл щитов, протяжка</t>
  </si>
  <si>
    <t>июнь 2011Техническое обслуживание внутренних систем ТВС,  ХВС и канализации</t>
  </si>
  <si>
    <t>июнь 2011гТехническое обслуживание внутренней системы электроснабжения и электротехнических устройств.</t>
  </si>
  <si>
    <t>01.08.Демонтаж труб отопления в подъезде</t>
  </si>
  <si>
    <t>02.08.Замена труб отопления</t>
  </si>
  <si>
    <t>Музыченко, Крупич, Сауков</t>
  </si>
  <si>
    <t>04.08.Установка батареи отопления в подвале, установка сборок</t>
  </si>
  <si>
    <t>08.08.Покраска труб отопления и водопровода, утепление труб в подъезде</t>
  </si>
  <si>
    <t>02.08.Замена труб водопровода</t>
  </si>
  <si>
    <t>11.08.Заявка 1833 кв 1. Засор канализации, прочистка кан.в ванной</t>
  </si>
  <si>
    <t>Ерлин, Конюшенко, Денисов, Музыченко</t>
  </si>
  <si>
    <t>30.08.Осмотр канализации в подвале</t>
  </si>
  <si>
    <t>06.08.Заявка 1795 кв 10. Осмотр, замена сгоревшего пакетного выключателя</t>
  </si>
  <si>
    <t>31.08.Заявка 2032 кв 24. Осмотр, сделали сами</t>
  </si>
  <si>
    <t>20.09.замена коньков на крыше</t>
  </si>
  <si>
    <t>02.09. закрытие задвижек сети отоплениния на дом</t>
  </si>
  <si>
    <t>20.09. подключение и отключение эл.пилы на крыше</t>
  </si>
  <si>
    <t>17.10.по заявке кв.8 Замена лампочек, замена автомата, ревизия эл.щита</t>
  </si>
  <si>
    <t>14.11.Обследование квартир 14,21.</t>
  </si>
  <si>
    <t>Матузов, Кривенчук</t>
  </si>
  <si>
    <t>10.02.Заявка 3166 (кв15). Нет света в подъезде, замена эл.лампочек 5 шт</t>
  </si>
  <si>
    <t>02.05.Заявка 110.  кв 4.Засор канализации, прочищено из колодца до дома</t>
  </si>
  <si>
    <t>11.05.Заявка 151 кв 15. Нет света на 1 этаже, 2 подъезд, замена лампочек 1 шт</t>
  </si>
  <si>
    <t xml:space="preserve"> по улице  Вокзальная   с июня месяца 2011 года</t>
  </si>
  <si>
    <t xml:space="preserve">02.09.Осмотр водопровода, канализации </t>
  </si>
  <si>
    <t>11.10. Установка кранов на стояки отопления, перепуск стояков отопления во подвале</t>
  </si>
  <si>
    <t>10.10.по заявке.Замена эллампочек</t>
  </si>
  <si>
    <t>06.03.Уборка снега с крыши</t>
  </si>
  <si>
    <t>01.03. Работа на доме с комиссией с гл.инженером</t>
  </si>
  <si>
    <t>23.04.Снятие показаний со счетчиков</t>
  </si>
  <si>
    <t>16.05. Заявка 190 Нет света в подъезде, замена 10 ламп</t>
  </si>
  <si>
    <t>16.05. Осмотр эл.щита</t>
  </si>
  <si>
    <t xml:space="preserve"> по улице  Вокзальная   с июня месяца 201 года</t>
  </si>
  <si>
    <t>08.06. заявка. Замена гибких подводок</t>
  </si>
  <si>
    <t xml:space="preserve">16.06. Устранение течи хвс в подвале </t>
  </si>
  <si>
    <t>21.06. Заявка кв16.Осмотр, требуется замена крана</t>
  </si>
  <si>
    <t>22.06. замена крана шарового д 15</t>
  </si>
  <si>
    <t>Ерлин, Конюшенко, Сауков</t>
  </si>
  <si>
    <t>04.08.Установка запоров на подвальные двери</t>
  </si>
  <si>
    <t>24.06.Заявка 1124 кв 13. Замена трубы отопления и водопровода в подвале</t>
  </si>
  <si>
    <t>02.08.Заявка, осмотр дверного блока подвала</t>
  </si>
  <si>
    <t>04.08.Замена трубы по подвалу</t>
  </si>
  <si>
    <t>Музыченко, Крупич</t>
  </si>
  <si>
    <t>01.08.Заявка 1724 кв 22.Нет напора воды, нет дома никого</t>
  </si>
  <si>
    <t>16.08.Заявка 1864 кв 22.Нет дома никого</t>
  </si>
  <si>
    <t>16.08.Заявка 1862 кв3.Запах канализации.Запах не выявлен. Стоки уходят, вентиляция работает</t>
  </si>
  <si>
    <t>18.08.Заявка 1885 кв 21.Неть воды. Осмотр нет давления</t>
  </si>
  <si>
    <t>19.08.Работа по водопроводу в подвале</t>
  </si>
  <si>
    <t>01.08.Заявка 1727 кв 3.Замена лампочек 8шт</t>
  </si>
  <si>
    <t>30.08.Замыкание эл.щитовой в подвале. Ревизия элющитовой</t>
  </si>
  <si>
    <t>09.09. замена конька на крыше</t>
  </si>
  <si>
    <t>Конюшенко Христофоров, Музыченко</t>
  </si>
  <si>
    <t>01.09. замена эл.лампочек</t>
  </si>
  <si>
    <t xml:space="preserve">07.10. Перепуск стояков отопления </t>
  </si>
  <si>
    <t>24.10. перепуск стояков отопления, работа в подвале</t>
  </si>
  <si>
    <t>17.10. Ревизия эл.щита в подвале</t>
  </si>
  <si>
    <t>09.09.Осмотр сети канализации в подвале</t>
  </si>
  <si>
    <t>09.11.осмот элщитовой в подвале, замена вставок, чистка контактов</t>
  </si>
  <si>
    <t>14.02. Уборка шлака на крыше</t>
  </si>
  <si>
    <t>15.02. Капает с потолка, уборка шлака на крыше</t>
  </si>
  <si>
    <t>17.02.Промерзает потолок. Уборка шлака, сверление плит, запенивание плит</t>
  </si>
  <si>
    <t>13.02.Заявка нет воды, обход подвалов, замер давления воды</t>
  </si>
  <si>
    <t>11.04.Обследование сетей водоснабжения</t>
  </si>
  <si>
    <t>Конюшенко, Ерлин, Угрюмов</t>
  </si>
  <si>
    <t>04.05.Заявка 132. Сорвало шифер с крыши, временно поставлен лист (оцинковка)</t>
  </si>
  <si>
    <t>25.05. Ремонт кровли (замена  шифера 1 лист)</t>
  </si>
  <si>
    <t>01.05. Заявка 108 кв 26. Течь канализации в подвале. Обследовано стоит центр.канализация. Телефонограмма ООО Теплосервис</t>
  </si>
  <si>
    <t>16.05. Осмотр эл.щитов, подтяжка контактов</t>
  </si>
  <si>
    <t>м июня месяца 2011 годав  январе  месяце 2012 года</t>
  </si>
  <si>
    <t xml:space="preserve">13.08.Заявка 1845 кв 6. Нет воды на 3-ем этаже.Осмотр нет напора в центральной сети </t>
  </si>
  <si>
    <t>16.08.Заявка 1872 кв12. 3 дня нет воды.Осмотр, требуется замена фильтра в подвале</t>
  </si>
  <si>
    <t>16.08.ЗаявкаОсмотр на отсутствие воды, устранение течи в подвале</t>
  </si>
  <si>
    <t>05.08.Ревизия эл.щита основного</t>
  </si>
  <si>
    <t>30.08.Заявка кв 12. Замена лампочек в подъездах</t>
  </si>
  <si>
    <t>06.09. ревизия запорной арматуры на отоплении</t>
  </si>
  <si>
    <t>30.09.запуск лежаков отопления, проверка стояков, ревизия кран-буксы</t>
  </si>
  <si>
    <t>10.10. Осмотр системы отопления в подвале на протекание</t>
  </si>
  <si>
    <t>14.11.Заявка 2932 кв10. 2923 ; 2909 кв 6нет тепла, составлен акт подача 45град, обратка 34град, на улице 9град</t>
  </si>
  <si>
    <t>Кривенчук, Матузов</t>
  </si>
  <si>
    <t>09.11.по заявке 2873 кв.16. Осмотр, перегрузка эл.сети. Выбило автомат на 40А., включение автомата</t>
  </si>
  <si>
    <t>28.11.Заявка подвал. Нет контакта в щитовой. Ревизия эл.щита, в подвале, ревизия эл.щитов по подъездам и по этажам</t>
  </si>
  <si>
    <t>12.12.Заявка 3126,3194 кв 23,3. Ремонт светильников, замена лампочек, осмотр элщитов, замена лампочек</t>
  </si>
  <si>
    <t>13.03.Уборка сосулек с крыши</t>
  </si>
  <si>
    <t>Денисов, Ерлин, Угрюмов</t>
  </si>
  <si>
    <t>11.04. Заявка 367 кв.22. Нет воды в квартире. Обследовано, давление в сетях , давление в квартире № 6 0,1 атм, необходима замена запорной арматуры.2,2 атм</t>
  </si>
  <si>
    <t>Ерлин, Угрюмов, Овсянников</t>
  </si>
  <si>
    <t>12.04.Заявка кв.9. Нет воды. Остановка стояка, демонтаж сборки, вентиля. Установка гибкой подводки, крана д15, запуск стояка, сварочные работы по замене резьб, сгонов, установка манометра</t>
  </si>
  <si>
    <t>Сауков, Конюшенко, Музыченко, Угрюмов</t>
  </si>
  <si>
    <t>13.04. Заявка кв 14. Засор канализации (выход из смотрового колодца). Осмотр, стоит квартальная канализация (зона ответственности Теплосервис), телефонограмма Теплосервису</t>
  </si>
  <si>
    <t>Сауков, Матузов</t>
  </si>
  <si>
    <t>13.04.Заявка кв 4. нет света в квартире. Выбило автомат, устранено замыкание электролампочки</t>
  </si>
  <si>
    <t>17.04.Заявка кв 3. кв.6. Резкий перепад напряжения. Осмотр этажных щитков, нет доступа в эл.щитовую во 2 подвале</t>
  </si>
  <si>
    <t>10.05.Заявка 150 кв 3. Нет света на входе в подъезд, ремонт светильника, замена 5 эл.ламп, осмотр эл.щитов</t>
  </si>
  <si>
    <t>11.05.Заявка 152 кв 6. Нет света в подъезде. Осмтрено, освещение в подъезде работает исправно</t>
  </si>
  <si>
    <t xml:space="preserve"> по улице  Пушкина   с июня месяца 2011 года</t>
  </si>
  <si>
    <t>10.06. Осмотр подвала</t>
  </si>
  <si>
    <t>28.06. Очистка крыши от мусора</t>
  </si>
  <si>
    <t>02.06.Течь стояка хвс.Замена стояка хвс с заменой крана.</t>
  </si>
  <si>
    <t>03.06.Нет воды по стояку. Очистка кран-буксы</t>
  </si>
  <si>
    <t>09.06.Заявка кв19. Осмотр квартиры, протекание с потолка, в 33 кв нет доступа</t>
  </si>
  <si>
    <t>20.06. Устранение течи хвс в подвале</t>
  </si>
  <si>
    <t>21.06.Осмотр подвальных помещений</t>
  </si>
  <si>
    <t>24.06. Осмотр подвальных помещений</t>
  </si>
  <si>
    <t>09.06. Заявка. Замена эл.лампочек, осмотр зл.щитов, протяжка контактов.</t>
  </si>
  <si>
    <t>09.06. Обследование кв 19 по заявке</t>
  </si>
  <si>
    <t>20.06.Заявка кв 54.Нет света в квартире, замена автоматов</t>
  </si>
  <si>
    <t>20.06.Ревизия общедомового щита</t>
  </si>
  <si>
    <t>июль 2011Техническое обслуживание внутренней системы электроснабжения и электротехнических устройств.</t>
  </si>
  <si>
    <t>24.08.Заявка 1949 кв 40. Открыть люк</t>
  </si>
  <si>
    <t>27.07.Заявка 1688 кв 13.Замена трубы на мет.пластик в ванной</t>
  </si>
  <si>
    <t>Денисов, Мезенцев</t>
  </si>
  <si>
    <t>05.08.Заявка 1789 кв 59. Течь крана стояка хвс. Ревизия кран-буксы</t>
  </si>
  <si>
    <t>10.08.Заявка 1819 кв 66.Замена стояков хвс.</t>
  </si>
  <si>
    <t>Денисов, Мезенцев, Крупич, Сауков</t>
  </si>
  <si>
    <t>16.08.Заявка 1867 кв 49.Замена кранов на стояках</t>
  </si>
  <si>
    <t>17.08.Заявка, прочистка канализацию</t>
  </si>
  <si>
    <t>18.08.Заявка 1880 .Прочистка канализации в подвале</t>
  </si>
  <si>
    <t>22.08.Заявка 1925. Засор канализации, прочищено</t>
  </si>
  <si>
    <t>22.08.Осмотр подвального помещения на предмет протекания</t>
  </si>
  <si>
    <t>26.08.Заявка 1972 кв 23.Не поступает вода в унитьаз, устранено</t>
  </si>
  <si>
    <t>27.08.Заявка 1982 кв 23.Нет воды, Осмотр, вода есть</t>
  </si>
  <si>
    <t>31.08.Пробивка канализации в подвале</t>
  </si>
  <si>
    <t>Ерлин, Христофоров,Овсяников</t>
  </si>
  <si>
    <t>10.08. Заявка 1828 кв 64.Замена эл.лампочек 5 шт</t>
  </si>
  <si>
    <t>11.08.Заявка 48. Замена эл.лампочек</t>
  </si>
  <si>
    <t>11.08. Заявка 1831 кв 48.Замена эл.лампочек 5 шт</t>
  </si>
  <si>
    <t>19.08.Заявка 1905 кв 45. Запах гари на площадки.Осмотр, пробита изоляция проводки, устранено</t>
  </si>
  <si>
    <t>22.23,2609 замена лежаков отопления в подвале</t>
  </si>
  <si>
    <t>27.09. замена трубы отопления в подвале</t>
  </si>
  <si>
    <t>Сауков, Конюшенко, Крупич</t>
  </si>
  <si>
    <t>21.09.Окончательная проверка при сдаче системы к отопит.сезону</t>
  </si>
  <si>
    <t>01.09. Осмотр водопровода, канализации в подвале</t>
  </si>
  <si>
    <t>08.09. осмотр сетей в подвале</t>
  </si>
  <si>
    <t>14.09. замена эл.розеток</t>
  </si>
  <si>
    <t>15.09. осмотр эл.щита</t>
  </si>
  <si>
    <t>21.09.замена автомата, ревизия эл.щита</t>
  </si>
  <si>
    <t>22.09. подключение эл.сарки, прокладка кабеля для освещения в подвале</t>
  </si>
  <si>
    <t>28.09. замена эл.лампочек (кв10)</t>
  </si>
  <si>
    <t>31.10.Ремонт двери в подвал, установка замка на дверь</t>
  </si>
  <si>
    <t>Сауков музыченко</t>
  </si>
  <si>
    <t>04.10. осмотр стояков на прогревание</t>
  </si>
  <si>
    <t>05.10. кв 55 замена лежака отопления с установкой регистра</t>
  </si>
  <si>
    <t>Сауков, Крупич, Музыченко</t>
  </si>
  <si>
    <t>07.10. Перепуск стояков отопления</t>
  </si>
  <si>
    <t>10.10. Перепуск стояков отопления</t>
  </si>
  <si>
    <t>17.10.завкв ЗАГС, перекрытие задвижек, слив воды из системы отопления</t>
  </si>
  <si>
    <t>17.10.заявка, пробивка общей канализации</t>
  </si>
  <si>
    <t>11.10. пробивка канализации в подвале</t>
  </si>
  <si>
    <t>13.10. по заявке кв10. Осмотр на установку розетки для водоподогревателя</t>
  </si>
  <si>
    <t>17.10. по заявке кв.14 осмотрено</t>
  </si>
  <si>
    <t>07.11. по заявкам  2626 кв 61., 2775 кв64. 2703закрытие поликарбонатом окон  на 2,3,5 этажах</t>
  </si>
  <si>
    <t>Овсянников, Христофоров</t>
  </si>
  <si>
    <t>09.11. Утепление подвальных окон</t>
  </si>
  <si>
    <t>Овсянников, Христофоров, Конюшенко</t>
  </si>
  <si>
    <t>11.11.Заявка 2901 кв.70. Установка пружины на входную дверь в подъезде</t>
  </si>
  <si>
    <t xml:space="preserve">Овсянников, </t>
  </si>
  <si>
    <t>03.11.завка 2825 кв. 38,  холодные батареи, перепуск стояков</t>
  </si>
  <si>
    <t>16.11.Заявка 2961.Холодно.Проведен осмотр сетей, перепуск стояков</t>
  </si>
  <si>
    <t>24.11.Заявка 3040 кв 10. Проведено обследование, перепущены стояки</t>
  </si>
  <si>
    <t>Христофоров, Кривенчук</t>
  </si>
  <si>
    <t>14.11. заявка кв 70., засор раковины, осмотр, заявка снята</t>
  </si>
  <si>
    <t>15.11.Заявка 2953.кв70. Течь полотенцесушителя, подтянул гайку</t>
  </si>
  <si>
    <t>17.11.Заявка 2974 кв.24. В ванной на полу вода. Осмотр, необходимо заменить фурнитуру</t>
  </si>
  <si>
    <t>18.11.Заявка 453.Снятие размеров осмотр и подсчет необх.материалов</t>
  </si>
  <si>
    <t>21.11.Плановые.Ревизия эл.проводки на 5 этаже.Крепление кабельканалов 4м. Закрытие эл.проводки в кабельканалы, Ревизия освещения на этажах.</t>
  </si>
  <si>
    <t>Ерюков,                               Денисов</t>
  </si>
  <si>
    <t>4                      0,5</t>
  </si>
  <si>
    <t>23.11. Заявка 3018  кв 43. Осмотр элщита, замена автомата</t>
  </si>
  <si>
    <t>23.11.Заявка 3024. кв 32. Замена эл.ламп, осмотр элщитов</t>
  </si>
  <si>
    <t>23.11.Заявка 3025 кв 6. Осмотр эл.щита, хозяев не дома</t>
  </si>
  <si>
    <t>14.12.Осмотр, пробивка канализации со стороны ЗАГС</t>
  </si>
  <si>
    <t>01.12.Осмотр подвала, стояков хвс, отопления, устранение течи (капели) на запорной арматуре</t>
  </si>
  <si>
    <t>07.12.Замена лампочек, ревизия светильников, осмотр элщитов</t>
  </si>
  <si>
    <t>12.12.Заявка кв 70. Замена эллампочек</t>
  </si>
  <si>
    <t>12.12.Заявка 3200 кв 48. Замена лампочек</t>
  </si>
  <si>
    <t>02.02.Заявка  закрыть плиту под лестницу</t>
  </si>
  <si>
    <t>01.02.Заявка 3611 (кв.38). Холодный стояк отопления, перепуск стояка</t>
  </si>
  <si>
    <t>01.02.Сварочные работы по отоплению (плети вдоль стены)</t>
  </si>
  <si>
    <t>Сауков, Музыченко, Христофоров</t>
  </si>
  <si>
    <t>02.02.Холодные стояки, перепуск стояков</t>
  </si>
  <si>
    <t>02.02.Сварочные работы по отоплению</t>
  </si>
  <si>
    <t>Сауков, музыченко</t>
  </si>
  <si>
    <t>02.02.Заявка  забита канализация, пробивка канализации в подвале</t>
  </si>
  <si>
    <t>16.02.Заявка 31 ( кв70), нет света в подъезде, замена 3х эл.лампочек</t>
  </si>
  <si>
    <t>27.02.Заявка 100. Нет света в квартире. Замена эл.лампочек 5 шт</t>
  </si>
  <si>
    <t>06.03.Уборка снега с козырьков, крыши</t>
  </si>
  <si>
    <t>14.03.Закрытие и открытие задвижек хвс</t>
  </si>
  <si>
    <t>Христофоров, Угрюмов</t>
  </si>
  <si>
    <t>15.03. Осмотр подвала на протекание инженерных сетей</t>
  </si>
  <si>
    <t>16.03. Заявка, бежит стояк. Замена стояка из подвала до 2-го этажа.</t>
  </si>
  <si>
    <t>20.03. Замена сборки холодной воды</t>
  </si>
  <si>
    <t>05.03.Заявка 129 кв 54. Нет света в квартире. Осмотр, замыкание эл.проводки</t>
  </si>
  <si>
    <t>13.03.Заявка 190. Замена лампочек, проверка патрона</t>
  </si>
  <si>
    <t>06.04.Осмотр внутренних сливов с протечков (кровля)</t>
  </si>
  <si>
    <t xml:space="preserve">09.04. Плановый осмотр инженрных сетей </t>
  </si>
  <si>
    <t>Сауков, Конюшенко, Овсянников</t>
  </si>
  <si>
    <t>13.04.Осмотр внутренних сливов с протечков (кровля)</t>
  </si>
  <si>
    <t>16.04. Открывание продухов подвалов</t>
  </si>
  <si>
    <t>Конюшенко, Ерлин, Овсянников, Сауков, Музыченко</t>
  </si>
  <si>
    <t xml:space="preserve">17.04. Осмотр внутренных сливов, осмотрено:  мусора нет </t>
  </si>
  <si>
    <t xml:space="preserve">28.04.Осмотр внутренних сливов </t>
  </si>
  <si>
    <t>05.04.Заявка 345. Засор канализации в подвале, прочищено</t>
  </si>
  <si>
    <t>10.04.Осмотр, дефектовка водопровода</t>
  </si>
  <si>
    <t>17.04.В подвале засор канализации, пробивка канализации</t>
  </si>
  <si>
    <t>20.04.Заявка 48.Прочистка канализации</t>
  </si>
  <si>
    <t>05.04.Заявка 333, кв48. Нет света 2,3,4 этаж. Замена ламп 3шт</t>
  </si>
  <si>
    <t>25.04.Заявка 66 кв 70. Замена эл.лампочек 4 шт</t>
  </si>
  <si>
    <t>27.04.Освещение техподвала</t>
  </si>
  <si>
    <t>28.04.Освещение подвала</t>
  </si>
  <si>
    <t>02.05.Заявка 116 кв 25.Отключение и подключение хвс (с 14до 15-30)</t>
  </si>
  <si>
    <t>10.05. кв 58. Обследование сетей хвс</t>
  </si>
  <si>
    <t>11.05.Заявка 147 кв 58. Подключить воду.Остановка стояка, замена крана на стояке, опрессовка, запуск стояка</t>
  </si>
  <si>
    <t>12.05.Заявка 157 кв 42. Течь воды под раковиной, обследовано, забит канализационный стояк</t>
  </si>
  <si>
    <t>13.05.Заявка 166 кв 44. Топят соседи сверху, перекрыта холодная вода</t>
  </si>
  <si>
    <t xml:space="preserve">15.05.Осмотр подвала </t>
  </si>
  <si>
    <t>21.05. Демонтаж сетей хвс</t>
  </si>
  <si>
    <t>22.05. Заявка 222 кв 59. Поврежден кран в ванной, замена крана</t>
  </si>
  <si>
    <t>22.05. кв 29 Замена смесителя</t>
  </si>
  <si>
    <t>31.05.Монтаж сети хвс</t>
  </si>
  <si>
    <t>Денисов, Музыченко, Овсянников, Ерлин</t>
  </si>
  <si>
    <t>03.05. Заявка 125, кв 48. Нет света 4 этаж, ремонт выключателя, замена ламп 4 шт</t>
  </si>
  <si>
    <t>04.05.Монтаж освещения подвала</t>
  </si>
  <si>
    <t>25.05. Заявка 245 кв 14. выбивает автома, замена автомата</t>
  </si>
  <si>
    <t>28.05. Заявка 259 кв 64. Нет света на 5 этаже. Замена 7 эл.ламп на 1,4,5 этажах</t>
  </si>
  <si>
    <t>30.05. Освещение подвала</t>
  </si>
  <si>
    <t>июнь 2011г  выкос травы</t>
  </si>
  <si>
    <t>27.06.Заявка.Устранение течи хв в подвале</t>
  </si>
  <si>
    <t>29.06. Прокладка трубы по подвалу</t>
  </si>
  <si>
    <t>30.06.Работа с водопроводом (крепление трубы)</t>
  </si>
  <si>
    <t>Христофоров, Музыченко, Овсянников, Конюшенко, Денисов</t>
  </si>
  <si>
    <t>июль 2011Техническое обслуживание внутренних систем ТВС, ГВС, ХВС и канализации</t>
  </si>
  <si>
    <t>июль 2011г. Техническое обслуживание внутренней системы электроснабжения и электротехнических устройств.</t>
  </si>
  <si>
    <t>03.08.Заявка 1759 кв 17.Течет крыша, Осмотр, большой напор воды, сетки чистые</t>
  </si>
  <si>
    <t>04.08.Очистка крыши от мусора</t>
  </si>
  <si>
    <t>Ерлин, Христофров</t>
  </si>
  <si>
    <t>05.08.Осмотр крыши, осмотр сливов, очистка сливов</t>
  </si>
  <si>
    <t>17.08.Осмотр крыши, очистка крыши от пуха</t>
  </si>
  <si>
    <t>25.08.Уборка мусора на крыше</t>
  </si>
  <si>
    <t>03.08.Заявка 1754 кв 52. Демонтаж батереи</t>
  </si>
  <si>
    <t>Овсянников, Мезенцев</t>
  </si>
  <si>
    <t>04.08.Заявка кв 52. Сварочные работы по замене стояка, батареи отопления</t>
  </si>
  <si>
    <t>10.08.Заявка 1822 кв.22.Перекрыть стояк отопления</t>
  </si>
  <si>
    <t>Музыченко, Ставицкий</t>
  </si>
  <si>
    <t>01.08.Заявка 1730 кв2. Течь воды в туалете, подтянул прокладку</t>
  </si>
  <si>
    <t>02.08.Отборка материала для водопровода</t>
  </si>
  <si>
    <t>04.08.Осмотр подвального помещения , работы по замене водопровода</t>
  </si>
  <si>
    <t>09.08.Работы по водопроводу в подвале, откачка воды из подвала</t>
  </si>
  <si>
    <t>10.08.Работы по водопроводу в подвале, откачка воды из подвала</t>
  </si>
  <si>
    <t>10.08.Заявка 1821 кв 36.Течь из колена на кухне, пробивка канализации</t>
  </si>
  <si>
    <t>11.08.Заявка, очистка канализации в подвале</t>
  </si>
  <si>
    <t>31.08.Осмотр подвальных помещений и колодцев канализации</t>
  </si>
  <si>
    <t>02.08.Заявка 1738 кв.40.Замена лампочек 8 шт.</t>
  </si>
  <si>
    <t>04.08.Заявка кв 59.Замена патрона</t>
  </si>
  <si>
    <t>16.08.Заявка 1868, кв 53.Замена автомата , ревизия щитов</t>
  </si>
  <si>
    <t>18.08.Заявка 1895 кв 27.Осмотр, плавятся провода в счетчике, устранено</t>
  </si>
  <si>
    <t xml:space="preserve">22.09.Рабочая проверка системы отопления в целом </t>
  </si>
  <si>
    <t>27.09. закрытие и открытие задвижек на дома</t>
  </si>
  <si>
    <t>01.09.Осмотр водопровода, канализации в подвале</t>
  </si>
  <si>
    <t>15.09. осмотр  водопровода, канализации</t>
  </si>
  <si>
    <t>07.09.устранение замыкания эл.розеток кв 48</t>
  </si>
  <si>
    <t>19.09. устранение замыкания  в квартире (кв 57)</t>
  </si>
  <si>
    <t>10.10. По заявке перепуск стояков отопления</t>
  </si>
  <si>
    <t>03.10. кв 43, по заявке опись работ</t>
  </si>
  <si>
    <t>05.10. кв 43,  расчет материалов для выполнения работ по стояку хвс</t>
  </si>
  <si>
    <t>06.10. кв 43, сварочные работы на стояке ХВС</t>
  </si>
  <si>
    <t>Сауков, Крупич, Музыченко,Овсянников</t>
  </si>
  <si>
    <t>10.10. Осмотр водопровода по стоякам хВС кв 54,59,60</t>
  </si>
  <si>
    <t>12.10. сварочные работы в подвале по системе хВС</t>
  </si>
  <si>
    <t>Сауков, Крупич, Музыченко,Конюшенко</t>
  </si>
  <si>
    <t>13.10. сварочные работы в подвале по системе хВС</t>
  </si>
  <si>
    <t>Сауков, Крупич, Ерлин, Музыченко, Конюшенко</t>
  </si>
  <si>
    <t>14.10. сварочные работы в подвале по системе хВС</t>
  </si>
  <si>
    <t>17.10. сварочные работы в подвале по системе хВС</t>
  </si>
  <si>
    <t>20.10. Замена стояков хвс по подвалу</t>
  </si>
  <si>
    <t>Крупич, Музыченко,Овсянников</t>
  </si>
  <si>
    <t>25.10. сварочные работы в подвале по системе хВС</t>
  </si>
  <si>
    <t>Сауков, Музыченко,Конюшенко</t>
  </si>
  <si>
    <t>26.10.Подключение центрального лежака со сталь.на ПЭ</t>
  </si>
  <si>
    <t>03.10. Замена зл.лампочек по заявке</t>
  </si>
  <si>
    <t>18.10. прокладка кабеля по подвалу, подключение эл.лампочек</t>
  </si>
  <si>
    <t>19.10.3 подъезд замена лампочек по этажам</t>
  </si>
  <si>
    <t>19.10. по заявке кв.65.замена лампочек</t>
  </si>
  <si>
    <t>Денисов, конюшенко</t>
  </si>
  <si>
    <t>09.11. по заявке 2869. Утепление подвальных окон</t>
  </si>
  <si>
    <t>Христофоров, Овсяников, конюшенко</t>
  </si>
  <si>
    <t>23.11.Заявка 3032. Закрытие подвальных окон</t>
  </si>
  <si>
    <t>15.11.Заявка 2943 кв52.Осмотр, спущен воздух, осмотр сетей по подвалу</t>
  </si>
  <si>
    <t>11.11.заявка 2899 кв 33. Засор канализации, прочищен канал.стояк</t>
  </si>
  <si>
    <t>Конюшенко, крупич</t>
  </si>
  <si>
    <t>25.11.Заявка 3049. кв 16. Обследован полотенцесушитель, подключен через хвс, технической возможности подключения к сети отпления нет</t>
  </si>
  <si>
    <t>05.12.Заявка кв 38, 59.Очистка унитаза, прочистка вентиляции на крыше</t>
  </si>
  <si>
    <t>01.12.Заявка 3098, замена эл.лампочек</t>
  </si>
  <si>
    <t>02.12.Заявка кв 12.Осмотр, замена эл.лампочек</t>
  </si>
  <si>
    <t>12.12.Заявка 3199 кв 60.Осмотр элпроводки, замена эл.лампочек</t>
  </si>
  <si>
    <t xml:space="preserve"> по улице  Пушкина  с июня месяца  2011 года</t>
  </si>
  <si>
    <t>08.02. заявка кв 29. Не работает вентиляция, пробивка вентиляции по всей крыше</t>
  </si>
  <si>
    <t>10.02.Уборка  подвала от мусора</t>
  </si>
  <si>
    <t>Конюшенко, Музыченко, Денисов, Христофоров</t>
  </si>
  <si>
    <t>08.02. Плохой напор воды</t>
  </si>
  <si>
    <t>10.02.Заявка 3638 (кв 30). Очистка отвода</t>
  </si>
  <si>
    <t>03.02. Заявка 3614 (3подъезд), замена лампочек 4,5 этаж, осмотр эл.щитов</t>
  </si>
  <si>
    <t>08.02. Заявка 3681 (кв21), Запах проводки, осмотр эл.щита</t>
  </si>
  <si>
    <t>01.03. Заявка 120 кв 21. Нет света. Ревизия элщита, замена провода</t>
  </si>
  <si>
    <t>01.03. Заявка 119 кв 42. Не работают розетки, осмотр, требуется замена</t>
  </si>
  <si>
    <t>09.04.Ремонт внутренного слива (подливка битумом)</t>
  </si>
  <si>
    <t>04.04. Заявка кв.28. Подключение и отключение стояков отопления (дважды)</t>
  </si>
  <si>
    <t>06.04.Осмотр подвальных коммуникаций (водоснабжение, теплоснабжение, канализация)</t>
  </si>
  <si>
    <t>30.04.Заявка 104 кв 60. Холодные батареи в спальне. Перепуск стояков , замена крана на стояке отопления</t>
  </si>
  <si>
    <t>18.04.Заявка кв 45. Заменит унитаз. Замена унитаза (платная услуга)</t>
  </si>
  <si>
    <t>23.04.Заявка 58 кв6. Течь воды на кухне. Осмотр требуется замена крана на стояке, замена крана отключение и подключение стояка</t>
  </si>
  <si>
    <t>23.04.Заявка 61 кв 45. Течь трубы в туалете. Замена сальниковой набивки и 2х сгонов д15</t>
  </si>
  <si>
    <t>06.04. Заявка 347 кв 20. Нет света в квартире. Замыкание эл.проводки в квартире, осмотр</t>
  </si>
  <si>
    <t>22.05. Запуск летнего водопровода</t>
  </si>
  <si>
    <t>03.05.Заявка 127 2 подъезд. Замена 10 эл.ламп</t>
  </si>
  <si>
    <t>06.05. Заявка 141 кв 27. В ванной бьет током. Обследовано 11-00, напряжения на сетях хвс нет, кв 23 отключена в 10-30</t>
  </si>
  <si>
    <t>Ерюков, матузов</t>
  </si>
  <si>
    <t>17.06.Установка лавочек</t>
  </si>
  <si>
    <t>22.06.Установка ступеньки у крыльца</t>
  </si>
  <si>
    <t>14.06.Плановые, лестничный марш, двери склада</t>
  </si>
  <si>
    <t>22.06. изготовление ступеньки у крыльца</t>
  </si>
  <si>
    <t>09.06.Заявка 307-320, осмотр унитаза, перекрыта вода в бочек</t>
  </si>
  <si>
    <t>09.06.Заявка 315. Засор канализации</t>
  </si>
  <si>
    <t>16.06. Устранение течи канализации в подвале</t>
  </si>
  <si>
    <t>23.06. Заявка к.513. Засор унитаза</t>
  </si>
  <si>
    <t>28.06.Ремонт канализации, устранение течи</t>
  </si>
  <si>
    <t>29.06.Изготовление барашков на гидранты</t>
  </si>
  <si>
    <t>17.06.Заявка, замена эллампочек, элвыключателя</t>
  </si>
  <si>
    <t>23.06.Заявка.Установка розеток</t>
  </si>
  <si>
    <t>24.06.Ревизия эл.щитов, крепление планов эвакуации</t>
  </si>
  <si>
    <t>27.06.Заявка к 336.Установка эл.розеток</t>
  </si>
  <si>
    <t>28.06.Заявка.Замена эл.лампочек, ремонт эл.патрона</t>
  </si>
  <si>
    <t>30.06.Заявка к 508.Замена эл.лампаочек</t>
  </si>
  <si>
    <t>03.08.Заявка 1750 к 509-512.Засор унитаза, прочищено</t>
  </si>
  <si>
    <t>05.08.Заявка 1784 к 308.Засор раковины, устранено</t>
  </si>
  <si>
    <t>09.08.Заявка Замена стояков хвс</t>
  </si>
  <si>
    <t>16.08.Заявка 1865 к 316.Забита канализация, устранено</t>
  </si>
  <si>
    <t>17.08.Заявка 1878 к 313-314.Течь смывного бачка, устранено</t>
  </si>
  <si>
    <t>22.08.Заявка 1927 к 525.Засор раковины, прочищено</t>
  </si>
  <si>
    <t>25.08.Заявка 1935 к102. Осмотр, нужна замена клапана и гибкой подводки</t>
  </si>
  <si>
    <t>25.08.Заявка 1953 к 320.Засор унитаза, прочищено</t>
  </si>
  <si>
    <t>26.08.Заявка 1975 к320.Засор унитаза, прочищено</t>
  </si>
  <si>
    <t>27.98.Заявка 1977 к 320.Засор унитаза прочищено</t>
  </si>
  <si>
    <t>июль Техническое обслуживание внутренних систем ТВС, ГВС, ХВС и канализации</t>
  </si>
  <si>
    <t>июль Техобслуживание  конструктивных частей жилого дома</t>
  </si>
  <si>
    <t xml:space="preserve"> по улице  Пушкина  с июня   месяца 2011 года</t>
  </si>
  <si>
    <t>01.08.Заявка 1723 к 221.Оборван провод, закрепление провода в секции</t>
  </si>
  <si>
    <t xml:space="preserve">02.08.Заявка 1737 к 326.Замена лампочек </t>
  </si>
  <si>
    <t>04.08.Заявка 1764.Замена лампочек</t>
  </si>
  <si>
    <t>04.08.Заявка 1762 к 508.Замена лампочки, вахта, слесарка</t>
  </si>
  <si>
    <t xml:space="preserve">05.08.Заявка 1779 .Замена лампочек </t>
  </si>
  <si>
    <t>05.08.Заявка 1786 к 528.Замена лампочек</t>
  </si>
  <si>
    <t>15.08.Заявка 1861 к 528.Замена лампочек</t>
  </si>
  <si>
    <t>15.08.Заявка 313-316.Ревизия щитов, осмотр эл.проводки в секции на предмет замены</t>
  </si>
  <si>
    <t>22.08.Заявка 1919 к 528.Замена дампочек 2 шт</t>
  </si>
  <si>
    <t xml:space="preserve">29.08.Заявка 1999.Замена лампочки </t>
  </si>
  <si>
    <t>31.08.Заявка 2025 к 420. Выбило автомат</t>
  </si>
  <si>
    <t>31.08.Заявка 2029 к 424. Выбило автомат</t>
  </si>
  <si>
    <t>июньТехническое обслуживание внутренней системы электроснабжения и электротехнических устройств.</t>
  </si>
  <si>
    <t>20.09.Устранение засоров  канализационных трубопроводов до колодца</t>
  </si>
  <si>
    <t>01.09.устранение обрывов проводов по правому крылу по всем этажам</t>
  </si>
  <si>
    <t>06.09.замена эл.лампочек</t>
  </si>
  <si>
    <t>15.09. замена розетки (ком 30), замена эл.лампочек</t>
  </si>
  <si>
    <t xml:space="preserve">19.09.замена эл.лампочек </t>
  </si>
  <si>
    <t>23.09.замена автомата, замена эл.лампочек</t>
  </si>
  <si>
    <t xml:space="preserve">29.09. замена эл.лампочек </t>
  </si>
  <si>
    <t>13.10. завоз материалов для утепления окон</t>
  </si>
  <si>
    <t>14.10. Заделка окон кирпичом</t>
  </si>
  <si>
    <t>03.10.отключение стояков отопления КСЦО, замена кран-букс, странение течи</t>
  </si>
  <si>
    <t>04.10. Устранение течи на стояке отопления</t>
  </si>
  <si>
    <t>04.10.Ревизия кран-букс на сборках отопления</t>
  </si>
  <si>
    <t>07.10.по заявке перепуск стояков отопления в подвале</t>
  </si>
  <si>
    <t>Крупич, Ерлин, Музыченко, Овсянников</t>
  </si>
  <si>
    <t>12.10. Осмотр стояков отопления</t>
  </si>
  <si>
    <t>18.10.Перепуск стояков отопления по заявке</t>
  </si>
  <si>
    <t>19.10.перепуск стояков отопления</t>
  </si>
  <si>
    <t>Изготовление переходников для холодной воды</t>
  </si>
  <si>
    <t>19.10. пробивка канализации в подвале</t>
  </si>
  <si>
    <t>07.10. по заявке к102. Замена элпроводки от эл.счетчика</t>
  </si>
  <si>
    <t>10.10. по заявке к.537, замена эл.лампочек</t>
  </si>
  <si>
    <t>10.10. по заявке к.528, замена эл.патрона</t>
  </si>
  <si>
    <t>13.10.по заявке к 519. Замена эл.лампочек</t>
  </si>
  <si>
    <t>14.10.  Замена эл.лампочек</t>
  </si>
  <si>
    <t>17.10.по заявке к 228. Замена эл.лампочек</t>
  </si>
  <si>
    <t>08.11. остекление окон</t>
  </si>
  <si>
    <t>Христофоров, конюшенко</t>
  </si>
  <si>
    <t>11.11. Заявка 2904 к 524. Перепуск стояка</t>
  </si>
  <si>
    <t>02.11. заявка 2804, осмотр протекания стояка ком 219</t>
  </si>
  <si>
    <t>10.11. заявка 2890. к 218. нет воды, осмотр стояка, разводки, требуется замена смесителя</t>
  </si>
  <si>
    <t>10.11.заявка 2888 к.224. Сорвало кран, замена кран-буксы.</t>
  </si>
  <si>
    <t>15.11.замена стояков 8м, установка кранов 3шт.</t>
  </si>
  <si>
    <t>Ерлин,Денисов,Крупич</t>
  </si>
  <si>
    <t>16.11.Заявка 2954 к.311. Засор раковины. Прочистка канализационной сети</t>
  </si>
  <si>
    <t xml:space="preserve">18.11.Заявка 2983 к406. Ремонт патрона, замена лампочек, ревизия проводки </t>
  </si>
  <si>
    <t>23.11.заявка 3031 к 519.Ревизия эл.щита, включение автоматов</t>
  </si>
  <si>
    <t>23.11.Заявка 3019 к508. Замена эл.лампочек, ревизия элщитов 2-5 этажах</t>
  </si>
  <si>
    <t>30.11.Заявка 3084 к 511. Нет света.Ревизия эл.щита, замена автомата</t>
  </si>
  <si>
    <t>30.11.Плановые: Замер и определение кол-во материалов для установки эл.счетчика</t>
  </si>
  <si>
    <t>20.12.Уборка подвала</t>
  </si>
  <si>
    <t>05.12.Заявка к 301.Прочиска канализации</t>
  </si>
  <si>
    <t>07.12.Заявка 3140 к 511.Нет напора воды.Чистка и регулировка смывного бачка, пробивка канализации</t>
  </si>
  <si>
    <t>12.12.Заявка 3193 к 508. Не работает слив, засор раковины, устранено</t>
  </si>
  <si>
    <t>07.12.Осмотр эл.щитов, ревизия эл.щитов, протяжка контактов</t>
  </si>
  <si>
    <t>13.12.Заявка 3206,3205, Замена лампочек</t>
  </si>
  <si>
    <t>19.12.Заявка 3173 к 435. Требуется замена эл.розетки</t>
  </si>
  <si>
    <t>19.12.Заявка 3254 к 212. Отгорел провод, установка сжима, замена выключателя</t>
  </si>
  <si>
    <t>02.02.Утепление подвальных окон</t>
  </si>
  <si>
    <t>Христофоров, Овсянников, Ерлин</t>
  </si>
  <si>
    <t>07.02.Изготовление и установка двери пожарного выхода, набивка задвижек подвала</t>
  </si>
  <si>
    <t>08.02. Изготовление и установка дверей</t>
  </si>
  <si>
    <t>09.02.Изготовление и установка дверей</t>
  </si>
  <si>
    <t>14.02.Уборка пожарных выходов</t>
  </si>
  <si>
    <t>21.02.Ремонт дверей секциями</t>
  </si>
  <si>
    <t xml:space="preserve">Христофоров, Овсянников, </t>
  </si>
  <si>
    <t>03.02.Заявка 3631, хол.батареи. Перепуск стояков отопления</t>
  </si>
  <si>
    <t>Конюшенко, Ерлин,</t>
  </si>
  <si>
    <t>14.02.Заявка 30. Перепуск стояков</t>
  </si>
  <si>
    <t>28.02. Заявка 102., к 416. Установка регистра в секции</t>
  </si>
  <si>
    <t>08.02.Заявка 3676,3677 (412) Течь воды, течь крана, устранено</t>
  </si>
  <si>
    <t>27.02.Заявка 102. к 416. Течь трубы в мойке. Осмотрено, требуется замена труб</t>
  </si>
  <si>
    <t>03.02.Заявка 3636.Замена лампочек на 1 этаже</t>
  </si>
  <si>
    <t>08.02.Освещение амбуров, установка светильников</t>
  </si>
  <si>
    <t>15.02.Заявка 32,34. Замена эл.лампочек</t>
  </si>
  <si>
    <t>27.02.Заявка 103. к416. Нет света в туалете. Установка наст.паирона, кабель1м</t>
  </si>
  <si>
    <t>14.03.Заявка 197. 199. течь трубы, капель с потолка. Требуется замена унитаз</t>
  </si>
  <si>
    <t>Христофоров. Угрюмов</t>
  </si>
  <si>
    <t>15.03. заявка. Разбит унитаз. Замена унитаза.</t>
  </si>
  <si>
    <t>19.03. Заявка 215. топят соседи сверху. Осмотр требуется замена сифона</t>
  </si>
  <si>
    <t>20.03. Заявка 232, 231. Топят сверху. Устранение засора на 2м этаже</t>
  </si>
  <si>
    <t>11.03.Заявка 160,170. Замыкание эл.проводки, осмотр, замена кабеля, ламп</t>
  </si>
  <si>
    <t>13.03.Заявка. Установка настенного патрона, установка расп.коробки</t>
  </si>
  <si>
    <t>13.03.Заявка 186. Замена автомата в общем щите</t>
  </si>
  <si>
    <t>02.04.Заявка 317. ком.229-228. Нет воды. Замена стояка со 2на 1 этаж, лежака в секции 2м, установка смесителя</t>
  </si>
  <si>
    <t>Конюшенко, Сауков, Угрюмов</t>
  </si>
  <si>
    <t>02.04.Заявка 322, ком.411. Забилась раковина, прочистка кан.лежака до стояка</t>
  </si>
  <si>
    <t>03.04.Заявка 319 ком.228. Демонтаж разбитой раковины, установка раковины</t>
  </si>
  <si>
    <t>Музыченко, Угрюмов</t>
  </si>
  <si>
    <t>09.06. Заявка 348, установка гибкой подводки, дезинфекция техподполья</t>
  </si>
  <si>
    <t>09.06. Дезинфекция подвала</t>
  </si>
  <si>
    <t>10.04.Заявка 367 ком 320. Течет кран. Замена крана</t>
  </si>
  <si>
    <t>10.04.Заявка 54. Течь унитаза. Проведено обследование, необходимо заменить унитаз</t>
  </si>
  <si>
    <t>Овсянников, Прытков</t>
  </si>
  <si>
    <t>12.04. као.432. Не поступает вода в смывной бачек., прочищен клапан подачи воды</t>
  </si>
  <si>
    <t>16.04.Заявка 348 ком 221. Поменять гибкую подводку на хвс. Проведена замена гибкой подводки (но напор воды слабый, необходимо заменить разводку)</t>
  </si>
  <si>
    <t>17.04.Заявка 348, ком 221. Поменять шланг на хвс. Замена подводки, 4 м стояка хвс и комплектующих, остановка и запуск стояка</t>
  </si>
  <si>
    <t>18.04. Заявка к 224. Забит сифон. Прочистка сифона, замена сальниковой набивки</t>
  </si>
  <si>
    <t>19.04.Заявка 35 к 412, течь крана в мойке, ремонт смесителя</t>
  </si>
  <si>
    <t>19.04.Заявка 37, течь батареи.Остановка стояка отопления, сброс теплоносителя, демонтаж регистра, установка кранов, сварочные работы</t>
  </si>
  <si>
    <t>23.04.Заявка 50, реаб.центр топят со 2-го этажа, перекыты стояки отопления</t>
  </si>
  <si>
    <t>24.04.Заявка 68 к 519. Нет воды, замена гибкой подводки и крана д15.</t>
  </si>
  <si>
    <t>24.04.Заявка 69, отдел соцзащиты, заливают со 2-го этажа, осмотр перкрыта вода</t>
  </si>
  <si>
    <t>24.04.Заявка 73 к 528. Подтекает вода из крана. Необходимо заменить гибкую подводку</t>
  </si>
  <si>
    <t>25.04.Заявка 75 к 216.Течь батареи, демонтаж прибора отопления, установка регистра, запуск отопления</t>
  </si>
  <si>
    <t>Музыченко, сауков</t>
  </si>
  <si>
    <t>26.04.Заявка 78 к 319.Холодные батареи, устранено, перепуск стояка отопления</t>
  </si>
  <si>
    <t>27.04.Заявка 84 к 331. Нет воды в туалете. Прочистка гибкой подводки</t>
  </si>
  <si>
    <t>28.04.Заявка 92 к 101.Потекла батарея. Отключение стояка, демонтаж отопительного прибора.Сварочные работы, установка кранов, установка отопительного прибора, подключение стояка</t>
  </si>
  <si>
    <t>Сауков, Музыченко, Овсяников, Конюшенко</t>
  </si>
  <si>
    <t>02.04.ком.201-204. несанкционированное подключение эл.розетки в душевой к патрону освещения. Отключение эл.розетки, демонтаж провода, подключение патрона, изолирование проводов</t>
  </si>
  <si>
    <t>05.04.Заявка 341, заменить лампочку в прихожей, замена лампы</t>
  </si>
  <si>
    <t>09.04.Заявка 358. 1,2 этаж в коридоре нет света, замена ламп</t>
  </si>
  <si>
    <t>09.04.Заявка 355 к 525. Нет света в секции, ремонт выключателя, распайка распредкоробки</t>
  </si>
  <si>
    <t>16.04. Заявка к 528. Нет света на лестн.площадке. Замена эл.ламп 2 шт</t>
  </si>
  <si>
    <t>17.04.Ревизия эл.щитов</t>
  </si>
  <si>
    <t>23.04.Заявка 52 к.416. Поменять плафон в туалете, осмотр, замена эл.лампочки</t>
  </si>
  <si>
    <t>28.04. Заявка 88 .Замена эл.лампочек 4 шт 1 этаж правое крыло. Изоляция проводов в подвале</t>
  </si>
  <si>
    <t>02.05.Заявка 112, течь воды с потолка, осмотрено топит 216 комната. Отключили отопление по стояку. Демонтаж регистра, установка кранов д 20-2шт, запуск отопления</t>
  </si>
  <si>
    <t>Конюшенко, Ерлин,Овсянников</t>
  </si>
  <si>
    <t>25.05. Заявка 240 ком 505. Капает кран батареи. Кран подтянут</t>
  </si>
  <si>
    <t>28.05.осмотр подвала</t>
  </si>
  <si>
    <t>02.05.Заявка 91 к 414, закрепить  унитаз</t>
  </si>
  <si>
    <t>03.05.к 414 установка бачка на унитаз</t>
  </si>
  <si>
    <t>Конюшенко, овсянников</t>
  </si>
  <si>
    <t>04.05.Заявка 129 к 309-312. В мойке неработает кран. Замена кран-буксы</t>
  </si>
  <si>
    <t>05.05.Заявка 137 к 528.Заменит сифон. Прочистили сифон</t>
  </si>
  <si>
    <t>11.05.Заявка 153 к 413. Не поступает вода. Осмотрено необходимы : кран, гибкая подводка</t>
  </si>
  <si>
    <t>12.05. Заявка 161 к 413. Течь в кране в мойке. Обследовано, требуется замена смесителя, гибкой подводки</t>
  </si>
  <si>
    <t>13.05.Заявка 167 центр реабилитации, течь, перекрыт стояк отопления</t>
  </si>
  <si>
    <t>13.05.Заявка 169, течь трубы хвс, перекрыт кран в мойке, нужна сварка</t>
  </si>
  <si>
    <t>15.05.Заявка 183 соцзащита компл.центр. Течь канал. Трубы в туалете (осмотрено ослабла гайка на трубе водопровода. Течь устранена.</t>
  </si>
  <si>
    <t>15.05.Заявк4а 185 к 408. Течь трубы в мойке, осмотрено, необходимо заменить запорную арматуру</t>
  </si>
  <si>
    <t>16.05. Замена водопровода к 408,308,208</t>
  </si>
  <si>
    <t>17.05. 408,308,208- замена стояка хвс</t>
  </si>
  <si>
    <t>18.05. Заявка 199 к 228. В мойке постоянно бежит вода. Осмотр, прочищена гибкая подводка и кран-букса</t>
  </si>
  <si>
    <t>23.05.Заявка 231 к 314. не работает смывной бачек, регулировка арматуры смывного бачка, продувка гибкой подводки</t>
  </si>
  <si>
    <t>23.05. Заявка 232 центр реабилитации, замена унитаза в комплекте (демонтаж)</t>
  </si>
  <si>
    <t>24.05. Заявка 232 реаб.центр, установка унитаза</t>
  </si>
  <si>
    <t>28.05. Заявка 254 к 311. Забился унитаз, прочичстка через унитаз троссом</t>
  </si>
  <si>
    <t>29.05. Заявка 265 течь воды в душевой. Осмотр, требуется замена крана</t>
  </si>
  <si>
    <t>30.05. Заявка 273 к 315. Плохо бежит вода из крана. Осмотр, необходимо заменить смеситель</t>
  </si>
  <si>
    <t>31.05. Заявка 277 к 218. Течь крана в мойке. Осмотр: нужна замена гусака крана</t>
  </si>
  <si>
    <t>03.05.Заявка 120 к 218, нет света в общем коридоре, замена 2х эл.ламп</t>
  </si>
  <si>
    <t>05.05.Заявка 136 вахта. Нет света в коридоре, замена эл.лампы</t>
  </si>
  <si>
    <t>12.05. Заявка 160 к 413. Нет света в туалете. Замена эл.ламп</t>
  </si>
  <si>
    <t>14.05. Заявка 165 4 414, нет света в секции, осмотрено, замыкание эл.ламп, выбило автомат, неисправность устранена</t>
  </si>
  <si>
    <t>16.05. Заявка 191. вахта, нет света в коридоре и туалете. Замена ламп 3 шт</t>
  </si>
  <si>
    <t>18.05. Заявка 200 к 225. Нет света в коридоре и на лестнице, ремонт патрона, замена лампочки</t>
  </si>
  <si>
    <t>29.05. Заявка 263 к 332 нет света в общем коридоре. Замена 2 элламп</t>
  </si>
  <si>
    <t>31.05. к 509-511. Освещение секций туалета</t>
  </si>
  <si>
    <t xml:space="preserve"> по улице  Пушкина  с июня  месяца 2011 года</t>
  </si>
  <si>
    <t>16.06. Осмотр подвала</t>
  </si>
  <si>
    <t>29.06.Крепление решеток на лоджии</t>
  </si>
  <si>
    <t>01.06. Заявка к 411, запах канализации, бежит кран. Обработка подвала, осмотр крана</t>
  </si>
  <si>
    <t>03.06.Заявка к 301.Замена гибкой подводки</t>
  </si>
  <si>
    <t>07.06.Ремонт сифона на раковине</t>
  </si>
  <si>
    <t>10.06. Заявка, осмотр, требуется замена крана</t>
  </si>
  <si>
    <t>14.06.Заявка к 223. Засор канализации, прочистка</t>
  </si>
  <si>
    <t>16.06.Заявка к423. Осмотр не работает кран в мойке</t>
  </si>
  <si>
    <t>16.06.Заявка кв407-408. Осмотр , течь трубы в ванной</t>
  </si>
  <si>
    <t>17.06.Заявка к407,408,426,423.Сломаны краны, установлены заглушки</t>
  </si>
  <si>
    <t>Ерлин Христофоров, Овсянников</t>
  </si>
  <si>
    <t>23.06. Заявка к 511. Демонтаж унитаза, установка нового унитаза</t>
  </si>
  <si>
    <t>23.06.Заявка к 511. Замена муфты соединения на хвс</t>
  </si>
  <si>
    <t>23.06.Заявка. Засор душевой</t>
  </si>
  <si>
    <t>28.06.Заявка.Демонтаж унитаза, установка унитаза</t>
  </si>
  <si>
    <t>29.06. Заявка к 511.Обследование душевой, подводка холодной воды</t>
  </si>
  <si>
    <t>14.06.Заявка. Замена эл.лампочек</t>
  </si>
  <si>
    <t>15.06.Заявка. Замена эл.лампочек</t>
  </si>
  <si>
    <t>15.06.Отключение от счетчика пенсионный фонд</t>
  </si>
  <si>
    <t>20.06.Заявка.Нет света в коридоре.Замена эл.лампочек.</t>
  </si>
  <si>
    <t>21.06.Ревизия эл.щитов, правое и левое крыло</t>
  </si>
  <si>
    <t>23.06.Заявка. Замена эл.лампочек</t>
  </si>
  <si>
    <t>июль =Техобслуживание  конструктивных частей жилого дома</t>
  </si>
  <si>
    <t>июньТехническое обслуживание внутренних систем ТВС, ГВС, ХВС и канализации</t>
  </si>
  <si>
    <t>27.07.Заявка 1685 к 214.Осмотр, требуется перенос счетчика, установка розеток, замена выключателя</t>
  </si>
  <si>
    <t>июльТехническое обслуживание внутренней системы электроснабжения и электротехнических устройств.</t>
  </si>
  <si>
    <t>05.08.Осмотр подвальных помещений</t>
  </si>
  <si>
    <t>11.08.Установка арматуры по подвалу</t>
  </si>
  <si>
    <t>12.08.Откачка воды из подвала, установка арматуры по подвалу</t>
  </si>
  <si>
    <t>15.08.Откачка воды из подвала, установка арматуры по подвалу</t>
  </si>
  <si>
    <t>Денисов, Музыченко, Ерлин, Христофоров, Конюшенко</t>
  </si>
  <si>
    <t>16.08.Раскладка труб по подвалу</t>
  </si>
  <si>
    <t>Денисов, Музыченко, Ерлин, Конюшенко</t>
  </si>
  <si>
    <t>17.08.Работа с трубопроводом по отоплению</t>
  </si>
  <si>
    <t>Музыченко, Крупич, Сауков, Конюшенко</t>
  </si>
  <si>
    <t>18.08.Работа с трубопроводом по отоплению</t>
  </si>
  <si>
    <t>19.08.Работа с трубопроводом по отоплению</t>
  </si>
  <si>
    <t>22.08.Работы по замене отопления</t>
  </si>
  <si>
    <t>23.08.Работы по замене отопления в подвале, откачка воды из подвала</t>
  </si>
  <si>
    <t>Музыченко, Ерлин, Крупич, Сауков</t>
  </si>
  <si>
    <t>24.08.Работы по замене отопления в подвале</t>
  </si>
  <si>
    <t>25.08.Работы по замене отопления в подвале</t>
  </si>
  <si>
    <t>26.08.Работы по замене отопления в подвале</t>
  </si>
  <si>
    <t>29.08.Демонтаж труб правого крыла отопления</t>
  </si>
  <si>
    <t>Музыченко,  Крупич, Конюшенко</t>
  </si>
  <si>
    <t>30.08.Демонтаж труб отопления в подвале</t>
  </si>
  <si>
    <t>Денисов, Музыченко, Христофоров, Сауков,, Конюшенко</t>
  </si>
  <si>
    <t>31.08.Демонтаж труб правого крыла отопления</t>
  </si>
  <si>
    <t>01.08.Заявка 1733. Топит 2-ой этаж, прощищен слив</t>
  </si>
  <si>
    <t>02.08.Осмотр канализации по подвалу</t>
  </si>
  <si>
    <t>03.08.Заявка 1751 к 228. Осмотр, пробивка канализации</t>
  </si>
  <si>
    <t>06.08.Заявка 1793 к 201.Засор канализации, прочищено</t>
  </si>
  <si>
    <t>07.08.Заявка 1800 пенс.фонд. Топят сверху, осмотр, течи не выявлено</t>
  </si>
  <si>
    <t xml:space="preserve">09.08.Заявка 1812 к 402.Течь стояка, требуется замена манжета </t>
  </si>
  <si>
    <t>09.08.Заявка 1818.Течь воды с потолка, осмотр</t>
  </si>
  <si>
    <t>14.08.Заявка 1849, пенс.фонд.Топят сверху.Перекрыта вода, отключен водопогреватель</t>
  </si>
  <si>
    <t>15.08.Вырезка старого отопления в подвале</t>
  </si>
  <si>
    <t>16.08.Заявка 1893 Забит слив в душевой, прочищено</t>
  </si>
  <si>
    <t>17.08.Заявка 1884 к 509.Засор унитаза, прочищено</t>
  </si>
  <si>
    <t>19.08.Заявка 1907 к 221.Засор раковины, прочистка</t>
  </si>
  <si>
    <t>23.08.Заявка 1939 к 226. Прочистка унитаза</t>
  </si>
  <si>
    <t>24.08.Заявка 1951 к432.Засор унитаза, устранено</t>
  </si>
  <si>
    <t>25.08.Заявка 1958 к 233,нет холодной воды, устранено</t>
  </si>
  <si>
    <t>25.08.Заявка 1963 к 418. Засор унитаза, устранено</t>
  </si>
  <si>
    <t>26.08.Заявка 1970 к 226. Нет воды, забита канализация. Устранено</t>
  </si>
  <si>
    <t>29.08.Заявка 2003 к 434. В душевой течет вода на пол.,засор устранен</t>
  </si>
  <si>
    <t>29.08.Откачка воды из подвала</t>
  </si>
  <si>
    <t>31.08.Демонтаж труб отопления</t>
  </si>
  <si>
    <t>31.08.Заявка 2014 313,314.Засор канализации, стояк чистый, дома нет никого</t>
  </si>
  <si>
    <t>31.08.Заявка 2022 пенс.фонд. Топят соседи сверху, прочистка унитаза</t>
  </si>
  <si>
    <t>02.08.Заявка 1741 к 222-224, от перегрузкм выбивает автомат, требуется прокладка доп.кабеля от щита до секции</t>
  </si>
  <si>
    <t>04.08.Заявка 1776 к 214. Перенос счетчика, установка элрозеток, прокладка провода в кабельканалы, замена.розеток, выключателей.</t>
  </si>
  <si>
    <t>08.08.Заявка 1809. Замена лампочек 2 шт</t>
  </si>
  <si>
    <t>08.08.Работы по освещению подвала</t>
  </si>
  <si>
    <t>Музыченко, Ерюков</t>
  </si>
  <si>
    <t>09.08.Заявка к 214. Замена эл.проводки, пренос эл.счетчика, розеток, выключателя</t>
  </si>
  <si>
    <t>11.08. Заявка кв 214. Перенос эл.счетчика</t>
  </si>
  <si>
    <t>12.08.Заявка 1838 к 309.Замена лампочки</t>
  </si>
  <si>
    <t>12.08.Заявка кв.214. Перенос 2х розеток с прокладкой кабель канала</t>
  </si>
  <si>
    <t>15.08.Заявка 1855.Замена лампочек 2 шт</t>
  </si>
  <si>
    <t>15.08.Заявка 15.08.Установка эл.патрона по подвалу</t>
  </si>
  <si>
    <t>16.08.Прокладка кабеля по подвалу</t>
  </si>
  <si>
    <t>19.08.Заявка 1896.Замена эл.лампочек 2 шт</t>
  </si>
  <si>
    <t>22.08.Заявка 1921 к 336. Осмотр, сгорел патрон на люстре</t>
  </si>
  <si>
    <t>23.08.Осмотр подвального помещения по освещению</t>
  </si>
  <si>
    <t>24.08.Заявка 1950 к223-225. нет света, устранено замыкание эл.проводов, ревизия элщита</t>
  </si>
  <si>
    <t>25.08.Заявка 1954. Замена эллампочек 5 шт</t>
  </si>
  <si>
    <t>26.08.Заявка 1973 к.430. Замена лампочек 1 шт</t>
  </si>
  <si>
    <t>30.08.Заявка 2008 , замена лампочки 1 шт</t>
  </si>
  <si>
    <t xml:space="preserve">31.08.Заявка 2024 кв 404.Замена автомата </t>
  </si>
  <si>
    <t xml:space="preserve">27.09. устранение течи стояка </t>
  </si>
  <si>
    <t>07.09. откачка воды</t>
  </si>
  <si>
    <t>09.09.крепление канализационных труб в подвале</t>
  </si>
  <si>
    <t>06.09.откачка воды из подвала</t>
  </si>
  <si>
    <t>14.09. откачка воды из подвала</t>
  </si>
  <si>
    <t>02.09.замена проводов, патрона, ревизия щита ком.511</t>
  </si>
  <si>
    <t>06.09. устранение замыкания в подвале, замена лампочек</t>
  </si>
  <si>
    <t>07-08.09.обслуживание насоса при откачке воды из подвала</t>
  </si>
  <si>
    <t>09.09. замена эл.лампочек</t>
  </si>
  <si>
    <t>14.09. замена эл.лампочек , эл.патрона</t>
  </si>
  <si>
    <t>15.09.замена эл.лампочек (к 207)</t>
  </si>
  <si>
    <t>20.09.освещение подвала</t>
  </si>
  <si>
    <t>30.09.ревизия с\основного щита с осмотром всех щитков по этажам</t>
  </si>
  <si>
    <t>21.10. Замер стекла, остекление окон по заявке пенс.</t>
  </si>
  <si>
    <t>10.10. Пробивка общего стояка канализации 4 эт</t>
  </si>
  <si>
    <t>11.10. Устранение течи  стояка канализации 4 эт</t>
  </si>
  <si>
    <t>11.10. пробивка канализации по стояку</t>
  </si>
  <si>
    <t>17.10. по заявке 4эт., замена крана шарового</t>
  </si>
  <si>
    <t>20.10.Осмотр унитаза и канализации на протекание</t>
  </si>
  <si>
    <t>03.10.Замена лампочек</t>
  </si>
  <si>
    <t>06.10.по заявке к.401Замена распределительной коробки, замена эл.лампочек</t>
  </si>
  <si>
    <t>10.10. по заявке к.233, осмотр элрозетки</t>
  </si>
  <si>
    <t>17.10.Замена лампочек вахта</t>
  </si>
  <si>
    <t>21.10. по заявке к 324.Востановление проводов</t>
  </si>
  <si>
    <t>08.11.по заявке 2785. остекление окон 2 крыло, 2,3 этажи</t>
  </si>
  <si>
    <t>07.11. по заявке 2851 к 432. пробивка засора унитаза</t>
  </si>
  <si>
    <t>Овсянников, христофоров</t>
  </si>
  <si>
    <t>16.11.Заявка 2948 к 534. Бежит кран. На кран установлена набивка</t>
  </si>
  <si>
    <t>21.11.Заявка 3012. Топят сверху.</t>
  </si>
  <si>
    <t>23.11.Заявка 3042 к 229.Осмотр, нужен клапан боковой подводки, проведена ревизия крана на стояке</t>
  </si>
  <si>
    <t>29.11Заявка к 415..Засор унитаза, Пробивка канализации, замена фурнитуры бачка</t>
  </si>
  <si>
    <t>29.11Заявка 3079. к 432..Засор унитаза, Пробивка канализации</t>
  </si>
  <si>
    <t>08.11. Ревизия эл.щита основного</t>
  </si>
  <si>
    <t>09.11. по заявке 2811 к 223. осмотрено от щитовой в секции, устранено</t>
  </si>
  <si>
    <t>10.11.Завка 2880 к301-304. Замена патрона</t>
  </si>
  <si>
    <t>10.11. Заявка 2872 к 229. В секции заменена лампа дневного света</t>
  </si>
  <si>
    <t>01.12.Заявка к 509. Снятие унитаза, демонтаж труб, прочистка канализации, установка унитаза и кан.труб.</t>
  </si>
  <si>
    <t>02.12.Заявка. Установка подвесного эл.патрона, замена эл.лампочек</t>
  </si>
  <si>
    <t>09.12.Заявка к 430. Топят сверху. Засор канализации в душевой к 530. Осмотр, прочистка</t>
  </si>
  <si>
    <t>12.12.Осмотр подвала, течи нет</t>
  </si>
  <si>
    <t>13.12.Заявка к 417. Топят соеди сверху, пробивка общей канализации</t>
  </si>
  <si>
    <t>01.12.Заявка 3100. замена эл.ламп</t>
  </si>
  <si>
    <t>07.12.Заявка 3136 к 329. нет света Ремонт элпатрона, ревизия распредкоробки, замена лампочки</t>
  </si>
  <si>
    <t>15.12.Заявка 3235. Замена эллампочек</t>
  </si>
  <si>
    <t>21.12.Заявка 3263. Замена лампочек</t>
  </si>
  <si>
    <t>15.02.Ремонт дверей</t>
  </si>
  <si>
    <t>01.02.Заявка 3620, к 305. Засор унитаза. Прочистка унитаза</t>
  </si>
  <si>
    <t>03.02.Заявка 3634 (к 207). Течь трубы в мойке. Устранение течи</t>
  </si>
  <si>
    <t>06.02.Заявка 3648, капает спотолка. Осмотрено, протекания нет на 2 этаже</t>
  </si>
  <si>
    <t>Христофоров,</t>
  </si>
  <si>
    <t xml:space="preserve">17.02.Нет воды на 5 этаже. Устранение течи хвс в подвале </t>
  </si>
  <si>
    <t xml:space="preserve">Денисов, Христофоров, </t>
  </si>
  <si>
    <t>02.02.Заявка 3537, замена лампочек</t>
  </si>
  <si>
    <t>02.03.Заявка 3635, замена эл.лампочек на входе</t>
  </si>
  <si>
    <t>06.02.Ревизия в эл.щитов (щитовая общ)</t>
  </si>
  <si>
    <t>07.02.Заявка 3679,3678 (303) Замена автомата, соединение провода</t>
  </si>
  <si>
    <t>08.02.Заявка 3684 (531к), выбивает автомат. Замена автомата, ревизия элщита</t>
  </si>
  <si>
    <t>09.02.Заявка 3522,3592. Левое крыло и на площадках нет света. Установка патронов, замена кабеля, замена эл.лампочек</t>
  </si>
  <si>
    <t>10.02.Заявка . Установить розетку, осмотрено, после приобретения розеьки</t>
  </si>
  <si>
    <t>15.02.Нет света на выходах. Установка патронов настенных</t>
  </si>
  <si>
    <t>27.02.Заявка 89,99 замена эл.лампочек 6 шт</t>
  </si>
  <si>
    <t>14.03. заявка 192. забита раковина. Прочищено</t>
  </si>
  <si>
    <t>угрюмов. Денисов</t>
  </si>
  <si>
    <t>15.03. Заявка 203, 188. Замена арматуры унитаза</t>
  </si>
  <si>
    <t>христофоров</t>
  </si>
  <si>
    <t>19.03. Заявка 217. Льется вода на 1 этаже.Устранении течи канализации в душе</t>
  </si>
  <si>
    <t>19.03. Заявка 219. Течь канализации, прочищено</t>
  </si>
  <si>
    <t>20.03. Заявка 226. Засор унитаза. Прочистка</t>
  </si>
  <si>
    <t>01.03.Заявка 118. Замена эл.лампочек, ремонт эл.патрона</t>
  </si>
  <si>
    <t>02.03.Заявка 125, кв 203. Замена эл.лампочек, замена автомата</t>
  </si>
  <si>
    <t>05.03.Заявка 145, к 321. Замена лампочек на лестнице.</t>
  </si>
  <si>
    <t>06.03.Обход секция по выявлению незаконных подключений</t>
  </si>
  <si>
    <t>Ерюков, Прытков</t>
  </si>
  <si>
    <t>07.03.к 216 заявка. Искрит автомат. Замена автомата, ревизия светильника</t>
  </si>
  <si>
    <t>11.03. Осмотр секций по замене эл.проводки</t>
  </si>
  <si>
    <t xml:space="preserve">12.03.Заявка 179. Замена эл.лампочек </t>
  </si>
  <si>
    <t>13.03.Заявка 177. Замена лампочек</t>
  </si>
  <si>
    <t>14.03. заявка 196. замена светильника</t>
  </si>
  <si>
    <t>15.03. Заявка 202. дымит провод.</t>
  </si>
  <si>
    <t>19.03. Заявка 211. выбивает автомат.Осмотр, протяжка контактов</t>
  </si>
  <si>
    <t xml:space="preserve">09.04. Заявка 359. Сломана тамбурная дверь. Ремонт двери из фанеры, замена  сломанного фрагмента </t>
  </si>
  <si>
    <t>11.04. Заявка 370. Разбито стекло, замена стекла</t>
  </si>
  <si>
    <t>16.04.Дезинфекция техподвала</t>
  </si>
  <si>
    <t>18. 04. Осмотр подвала, дезинфекция подвала</t>
  </si>
  <si>
    <t>03.04.Заявка 327, 405-408; 425-428, осмотр сетей хвс, отборка материала для ремонт сетей</t>
  </si>
  <si>
    <t>04.04.Заявка 335. вахта. Бежит вода с потолка, осмотрено не закрыт кран в секции 228к</t>
  </si>
  <si>
    <t>04.04.Заявка 334. пенс.фонд. Бежит вода с потолка, осмотрено течи нет, в туалете разлили воду</t>
  </si>
  <si>
    <t>Овсянников, Угрюмов, Конюшенко</t>
  </si>
  <si>
    <t>04.04.Заявка 327. (401-405, 428) Не поступает вода в сливной бачок.Проведена замена 8 м трубопровода</t>
  </si>
  <si>
    <t>Сауков, Ерлин, Музыченко</t>
  </si>
  <si>
    <t>05.04.Заявка 292,325,308 (409-412). Течь воды в мойке, течь смывного бачка, проведена замена комплектующих смывного бачка, замена бачка и крана д15 на стояке. Осмотр  подвала</t>
  </si>
  <si>
    <t>09.04.Заявка 361 пенс.фонд. Течет с потолка. Вследствии перелива сливного бачка в туалете произошло подтопление, устранено</t>
  </si>
  <si>
    <t>09.04.Осмотр секции 405-408, замена унитаза</t>
  </si>
  <si>
    <t>11.04. Заявка 369 к 428. Топят соседи сверху. Обследовано, следы пролива воды на пятом этаже</t>
  </si>
  <si>
    <t>12.04. Заявка 507-508, в туалете течет вода. Необходимо заменить унитаз</t>
  </si>
  <si>
    <t xml:space="preserve">Овсянников, Угрюмов, </t>
  </si>
  <si>
    <t>13.04.Заявка 508-507 к, течь в туалете. Протекает тройник, необходимо заменить тройник и унитаз</t>
  </si>
  <si>
    <t>Угрюмов, Овсянников</t>
  </si>
  <si>
    <t>23.04.Заявка 51 к329-333. Замена трубопроводов хвс 4м, рег.смывного бачка</t>
  </si>
  <si>
    <t>26.04.Заявка 80, пен фонд капает с потолка. Осмотрено, топит душевая 2 этаж. Прочищен слив</t>
  </si>
  <si>
    <t>26.04.Заявка 82 к 518-519. Сломана раковина. Осмотр</t>
  </si>
  <si>
    <t xml:space="preserve">27.04.Заявка 82 (повторно).Замена раковина. Замена 4м трубы, установка крана д15, резьба д15, </t>
  </si>
  <si>
    <t>29.04.Заявка 100 пенс.фонд. Зал.сверху, прочищена канализация тросом в душе на 2м этаже</t>
  </si>
  <si>
    <t>30.04.Заявка 102 пенс.фонд. Зал.сверху, прочищена канализация тросом в душе на 2м этаже</t>
  </si>
  <si>
    <t>02.04.Заявка 214.сек 205-207, 228, бьёт током в душе при подключении водоподогревателя, перепутаны контакты, устранено</t>
  </si>
  <si>
    <t>02.04.Заявка 324 вахта, нет света в коридоре, замена эл.лампочек - 1шт</t>
  </si>
  <si>
    <t>09.04. Заявка 357, нет света 1 этаже. Замена лампочек 1шт</t>
  </si>
  <si>
    <t>10.04.Заявка 365 к 321. Нет света на этаже, замена 4х ламп</t>
  </si>
  <si>
    <t>10.04.Заявление 48. Проведена замена кабеля АВВР 2*2,5 10 м и подключение в распредкоробках</t>
  </si>
  <si>
    <t>12.04. Заявка 372, ком.402. Замыкание проводки в секции. Замыкание после отопления, распайка проводов, подключение</t>
  </si>
  <si>
    <t>13.04.Заявка 430 к. Нет света на 4м этаже, замена эл.лампочек 3шт</t>
  </si>
  <si>
    <t>16.04.Заявка ком.329. Нет света на 3м этаже, ремонт патрона, замена 1 лампочки</t>
  </si>
  <si>
    <t>18.04. Заявка вахта нет света.:на 4этаже, вахте. Замена 3х ламп</t>
  </si>
  <si>
    <t>18.04.Освещение подвала</t>
  </si>
  <si>
    <t>20.04.Заявка 39,  вахта. Замена эл.ламп 2 шт.</t>
  </si>
  <si>
    <t>23.04. снятие показаний счетчиков</t>
  </si>
  <si>
    <t>23.04. Заявка 56 к 226. Осмотр, перепутали показагия по месяцам</t>
  </si>
  <si>
    <t>30.05. ком 203. Установка заглушек на сети отопления</t>
  </si>
  <si>
    <t>30.05. Осмотр сетей отопления</t>
  </si>
  <si>
    <t>02.05. Заявка 111 .Течь воды с потолка, осмотрено, течь хвс</t>
  </si>
  <si>
    <t>04.05.Заявка 128 Течь воды с потолка  возле туалета. Обследовано, протекает водопровод в комнате 221, оключен стояк, установлена заглушка.Подключен стояк</t>
  </si>
  <si>
    <t>Денисов, овсянников</t>
  </si>
  <si>
    <t>04.05.Заявка 131 к 421. Засор раковины в мойке, прочистка системы канализации</t>
  </si>
  <si>
    <t>04.05.заявка Заявка 134 к 201. Течь воды за унитазом. Демонтаж унитаза , установка уплотнительного кольца,установка и крепление унитаза</t>
  </si>
  <si>
    <t>05.05.Заявка 135 вахта 22-15. В подвале шум воды. Обследовано, открыт кран на спуск системы отопления по пенсионном фондом, кран закрыт</t>
  </si>
  <si>
    <t>05.05.Прочистка канализации в душевой  к 219.</t>
  </si>
  <si>
    <t>06.05.Заявка 139 к 201. Лопнул гибкий шланг 3-45. 4-50 перекрыт кран, осмотрео в 10-00</t>
  </si>
  <si>
    <t>11.05.Заявка 154 к 220. Засор унитаза, прочистка троссом унитаза</t>
  </si>
  <si>
    <t>12.05.Заявка 158 к 214. Течь воды в мойке из переходников. Устранено. Перепуская смеситель, перегнули гибкую подводку</t>
  </si>
  <si>
    <t>12.05.Заявка 159 к 219. Заменить смеситель в душе. Отключение сточка хвс, замена смесителя, подключение стояка</t>
  </si>
  <si>
    <t>16.05. осмотр подвала, пробивка канализации</t>
  </si>
  <si>
    <t>17.05. Заявка 197 к 221. Установка крана, вода подключена, проверена сеть канализации</t>
  </si>
  <si>
    <t>18.05. Заявка 203 к 223-229. Не работает туалет. Осмотр, прочищен общедомовой стояк</t>
  </si>
  <si>
    <t>20.05.Заявка 211 к 307. Засор унитаза. Засор канализации между унитазами, прочищено троссом</t>
  </si>
  <si>
    <t>21.05.Заявка 217 к 233. нет воды, прочистка гибкой подводки от стояка тросиком</t>
  </si>
  <si>
    <t>22.05.Заявка 221 пенс фонд, топят сверху, пробивка канализации тросом</t>
  </si>
  <si>
    <t>22.05.Заявка 223 ком 307-308. Забита канализация в туалете, пробивка троссом</t>
  </si>
  <si>
    <t>22.05. осмотр сети канализации в подвале</t>
  </si>
  <si>
    <t>25.05. Заявка 242 к 307-308,326-327, засор унитаза, прочищено</t>
  </si>
  <si>
    <t>Денисов, Музыченко, Ерлин</t>
  </si>
  <si>
    <t>25.05. Заявка 247 . Вахта течь воды с потолка. Осмотр, топит 221 к, перекрыта подача воды</t>
  </si>
  <si>
    <t>29.05. Заявка 266 пен.фонд. Топят чверху. Демонтирована кран хвс в комнате 221, всвязи с неисправностью водопровода в данной комнате, установлена заглушка.</t>
  </si>
  <si>
    <t>Музыченко, Овсянников, Прытков</t>
  </si>
  <si>
    <t>29.05. Заявка 269 пенс.фонд. Топят сверху. Прочистка канализации душевой кабины, перекрыта подача воды по стояку</t>
  </si>
  <si>
    <t>ерлин, Овсянников</t>
  </si>
  <si>
    <t>30.05. Заявка 271 к 313,Нет воды, произведена прочистка крана на стояке. Отключение и подключение стояка хвс.</t>
  </si>
  <si>
    <t>30.05.Заявка 272. Течь воды с потолка возле туалета на 1 этаже. Осмотр, неисправна душевая кабина, запрещена эксплуатациядо устранения неисправностей</t>
  </si>
  <si>
    <t>Денисов, матузов, Ерюков</t>
  </si>
  <si>
    <t>02.05.Заявка 109. Нет света в коридоре, замена 2х элламп</t>
  </si>
  <si>
    <t>02.05.Заявка 114 к 325, нет света левое крыло, замена ламп 7 шт</t>
  </si>
  <si>
    <t>06.05.Заявка 143 к 132. Нет света в секции. Осмотрено, пергрузка отгорели провода, устранено</t>
  </si>
  <si>
    <t>17.05. Заявка 176 вахта. Замена ламп 5 шт, осмотр наружнего светильника, осмотр эл.щитовых</t>
  </si>
  <si>
    <t>18.05. Заявка 204, юстиция, не горят лампочки, замена ламп</t>
  </si>
  <si>
    <t>18.05. Заявка 206, к 233. Не работает розетка, осмотрено на этаже пробит провод, устранено</t>
  </si>
  <si>
    <t>18.05. Заявка 198 не работает выключатель в душе, ремонт выключателя</t>
  </si>
  <si>
    <t>21.05. Заявка 213 к 430. Нет света в общем коридоре, замена ламп 1 шт</t>
  </si>
  <si>
    <t>21.05.Заявка 216 ком 207-208. выбивает автомат в общем коридоре, замена автомата 25 А</t>
  </si>
  <si>
    <t>23.05.Заявка 226 к 418. В секции нет света , замена автомата</t>
  </si>
  <si>
    <t>23.05. Заявка 234 к 315. В комнате нет света. Осмотр выбило автомат</t>
  </si>
  <si>
    <t>24.05. Заявка 236, 1 этаж нет света. Замена ламп 3 шт</t>
  </si>
  <si>
    <t>28.05. Заявка 258. Юстиция нет света, осмотр, сгорели контакты на автомате, замена контактов</t>
  </si>
  <si>
    <t>июнь-выкос травы</t>
  </si>
  <si>
    <t xml:space="preserve"> по улице  Пушкина   с июня   месяца 2011 года</t>
  </si>
  <si>
    <t>28.06.Заявка ремонт дверей подъезда</t>
  </si>
  <si>
    <t>06.06.Заявка кв 53.Протекают стояки. Осмотр, требуется замена стояков в перекрытии</t>
  </si>
  <si>
    <t xml:space="preserve">Овсянников, Ставицкий </t>
  </si>
  <si>
    <t>15.06.Заявка кв 56,53. Демонтаж унитаза, стояка, частично тройника, тройника к унитазу</t>
  </si>
  <si>
    <t>июль-Техническое обслуживание внутренних систем ТВС, ГВС, ХВС и канализации</t>
  </si>
  <si>
    <t>16.08.Заявка 1871 кв 59. Ремонт люка, закрыт люк на замок</t>
  </si>
  <si>
    <t>17.08.Осмотр подвала по запитке хол.водой теплотрассы</t>
  </si>
  <si>
    <t>02.08.Заявка 1735 кв 12. Течь канализации в подвале, устранено</t>
  </si>
  <si>
    <t>09.08.Заявка кв 22.Осмотр канализации, набивка муфты кан.стояка</t>
  </si>
  <si>
    <t>14.08.Заявка 1850 кв 29. Течь крана в ванной, устранено, требуется замена смесителя</t>
  </si>
  <si>
    <t>27.08.Заявка 1981 кв 3, Засор канализации, прочищено</t>
  </si>
  <si>
    <t>28.08. Заявка 1984 кв 12. Не поступает вода в смывной бачок, прочищено</t>
  </si>
  <si>
    <t>18.08.Заявка 1887. Замена лампочек 4шт, ревизия щитов, осмотр проводки</t>
  </si>
  <si>
    <t>28.09.утепление подвальных окон</t>
  </si>
  <si>
    <t>22.09.Рабочая проверка системы в целом</t>
  </si>
  <si>
    <t>26.09. запуск отопления в подвале</t>
  </si>
  <si>
    <t>27.09.закрытие и открытие задвижек на дом</t>
  </si>
  <si>
    <t xml:space="preserve">01.09.Осмотр водопровода, канализации в подвале </t>
  </si>
  <si>
    <t>05.09. замена эл.лампочек на этажах</t>
  </si>
  <si>
    <t>08.09. замена лампочек</t>
  </si>
  <si>
    <t>20.09. ревизия эл.щитов, замена лампочек</t>
  </si>
  <si>
    <t>06.10. Ремонт входной двери по заявке</t>
  </si>
  <si>
    <t>20.10. Установка дверных пружин на входные двери</t>
  </si>
  <si>
    <t>24.10. Осмотр системы отопления в подвале</t>
  </si>
  <si>
    <t>10.10. по заявке кв.29. Замена эллампочек, осмотр эл.щитов</t>
  </si>
  <si>
    <t>21.11.Осмотр вентиляционных коробов</t>
  </si>
  <si>
    <t>15.11.Заявка 2947.Осмотр сетей отопления на утечки</t>
  </si>
  <si>
    <t>10.11.завка 2894 кв.14. Не работает эл.плита. Осмотр требуется замена элкабеля, вилки, розетки</t>
  </si>
  <si>
    <t>10.11. Завка 2893 кв 51. Осмотр, ремонт патрона, замена лампочек в подъезде</t>
  </si>
  <si>
    <t>08.12.Заявка 3155 к 29. Ревизия элщитов, замена лампочек</t>
  </si>
  <si>
    <t>28.02.Нет тепла, перепуск стояков отпления</t>
  </si>
  <si>
    <t>Ерлин, Овсянников, Христофоров</t>
  </si>
  <si>
    <t>02.02.заявка 3616, кв 42. Нет света в квартире (ревизия эл.щита)</t>
  </si>
  <si>
    <t>14.02.Чистка щитов в подъездах (пылесос)</t>
  </si>
  <si>
    <t>17.02.Заявка 50, кв 51, нет света на этажах, замена лампочек</t>
  </si>
  <si>
    <t>27.02.Заявка 107. кв.29. Замена лампочек 4 шт.Ревизия эл.щитов</t>
  </si>
  <si>
    <t>15.03.Удаление сосулек с крыш</t>
  </si>
  <si>
    <t>Христофоров, Ерлин, Угрюмов</t>
  </si>
  <si>
    <t>02.03.Заявка 124, кв 53. Замена лампочек в подъезде</t>
  </si>
  <si>
    <t>05.03.Заявка 133 кв 37. Заменв автомата, замена эл.лампочек</t>
  </si>
  <si>
    <t>04.04Работы по замене  водопровода, установка опор под трубу д50.</t>
  </si>
  <si>
    <t>Угрюмов, Сауков, Овсянников</t>
  </si>
  <si>
    <t>05.04. Заявка 338. Течь канализации в подвале. Канализация прочищена</t>
  </si>
  <si>
    <t>Сауков, Угрюмов, Музыченко</t>
  </si>
  <si>
    <t>05.04.Работы по замене водопровода, установка опор д50, укладка трубы ПЭ 50</t>
  </si>
  <si>
    <t>Угрюмов, Сауков, Музыченко</t>
  </si>
  <si>
    <t>11.04. кв 41 по заявлению. Заменить кран - дома никого нет.</t>
  </si>
  <si>
    <t>17.04. Плановые работы по замене водопровода в подвале</t>
  </si>
  <si>
    <t>18.04. Плановые работы по замене водопровода в подвале</t>
  </si>
  <si>
    <t>19.04. Плановые работы по замене водопровода в подвале</t>
  </si>
  <si>
    <t>23.04.Плановые работы по водопроводу</t>
  </si>
  <si>
    <t>24.04.Заявка 65. кв 20. Подтекает вода под ванной, платная заявка, проведена замена сифона (после обследования и приборетения сифона)</t>
  </si>
  <si>
    <t>24.04.Плановые работы по водопроводу</t>
  </si>
  <si>
    <t>25.04.Демонтаж старого водопровода</t>
  </si>
  <si>
    <t>26.04.Демонтаж старого водопровода</t>
  </si>
  <si>
    <t>27.04.Заявка 85 кв 16. Нет воды в смывном бачке. Устранено, прочистка шланга на входе (ходили 2 раза )</t>
  </si>
  <si>
    <t>28.04.Заявка 93. кв 42. На стояке забился кран. Проведена прочистка отвода тросом, замена крана д15 на стояке</t>
  </si>
  <si>
    <t xml:space="preserve">Конюшенко, Ерлин, </t>
  </si>
  <si>
    <t>02.04. Ревизия эл щита 1 подъезд, 1 этаж</t>
  </si>
  <si>
    <t xml:space="preserve">06.04.Осмотр систем эл.снабжения в подвале </t>
  </si>
  <si>
    <t>09.04.Ревизия эл.щитов 2,3,4,подъезды</t>
  </si>
  <si>
    <t>16.04. Заявка кв 51. Нет света над подъездом. Ремонт выключателя, замена 4хламп</t>
  </si>
  <si>
    <t>28.04.Заявка 90 кв 29. Нет света в квартире. Устранено</t>
  </si>
  <si>
    <t>16.05. Замена двери подвала № 1</t>
  </si>
  <si>
    <t>02.05.Заявка 115. кв 50.Плохо поступает вода в смывной бак, на кухне слабый напор воды., отключение стояка, снятие и прочистка кранов, установка кранов, подключение стояка</t>
  </si>
  <si>
    <t xml:space="preserve">12.05. Освещение подвалов </t>
  </si>
  <si>
    <t xml:space="preserve"> по улице  Пушкина  с июня  месяца  2011 года</t>
  </si>
  <si>
    <t>30.06.Уборка подвального помещения от мусора</t>
  </si>
  <si>
    <t>01.06.Откачка воды из подвала</t>
  </si>
  <si>
    <t>01.06. Заявка кв 6,9,12. Плохой напор воды, промывка стояка хвс</t>
  </si>
  <si>
    <t>20.06. Заявка 4 подвал. Откачка воды из подвала</t>
  </si>
  <si>
    <t>20.06. Заявка. Прочистка стояков хвс</t>
  </si>
  <si>
    <t>Музыченко, Конюшенко, Денисов</t>
  </si>
  <si>
    <t>20.06. Заявка 1 подъезд. Осмотр, течь воды</t>
  </si>
  <si>
    <t>21.Замена лежака , замена стояков по 1 подвалу</t>
  </si>
  <si>
    <t>Овсянников, Сауков, Денисов</t>
  </si>
  <si>
    <t>22.06.Заявка кв 6,42.Осмотр нет напора воды</t>
  </si>
  <si>
    <t>23.06.Заявка кв.6.Прочистка трубы на кухню</t>
  </si>
  <si>
    <t>27.06.Заявка кв 19. Очистка крана хв</t>
  </si>
  <si>
    <t>29.06.Заявка, течь воды в подвале, осмотр</t>
  </si>
  <si>
    <t>29.06.Заявка, устранение течи в подвале</t>
  </si>
  <si>
    <t>30.06.Уборка подвального помещения</t>
  </si>
  <si>
    <t>14.06.Заявка кв 38.Замена пакетника, замена автомата</t>
  </si>
  <si>
    <t>15.06.Заявка кв 48.Замена автомата</t>
  </si>
  <si>
    <t>17.06.Осмотр этажных щитов, проводки, протяжка контактов</t>
  </si>
  <si>
    <t>17.06.Заявка кв 51.Не работает эл.печь, замена автомата</t>
  </si>
  <si>
    <t>20.06.Подключение и отключение насоса</t>
  </si>
  <si>
    <t xml:space="preserve">27.06.Ревизия эл.щитов по подъездам </t>
  </si>
  <si>
    <t>июль Техническое обслуживание внутренней системы электроснабжения и электротехнических устройств.</t>
  </si>
  <si>
    <t>16.08.Заявка 1866 кв 18. Ремонт перилл</t>
  </si>
  <si>
    <t>04.08.Заявка кв 49.Замена стояка хвс</t>
  </si>
  <si>
    <t>10.08.Заявка 1626 кв 58.Нет никого дома</t>
  </si>
  <si>
    <t>10.08 Заявка 1825 кв 46. Не постпает вода в туалет и ванную, устранено 11.08</t>
  </si>
  <si>
    <t>Денисов, Мезенцев, Крупич</t>
  </si>
  <si>
    <t>11.08.Заявка кв 46.Ремонт водопровода в подвале</t>
  </si>
  <si>
    <t>12.08.Заявка, работа по хвс</t>
  </si>
  <si>
    <t>20.08.Заявка 1910 кв 46.Засор канализации, прочищено</t>
  </si>
  <si>
    <t>22.08.Заявка 1926 кв 49.Трещина в стояке, замена фитинга на стояке</t>
  </si>
  <si>
    <t>22.09.Рабочая проверка системы отопления в целом</t>
  </si>
  <si>
    <t xml:space="preserve">01.09. Осмотр водопровода, канализации  в подвале </t>
  </si>
  <si>
    <t>12.09. замена лампочек, ревизия, осмотр щитов кв 50</t>
  </si>
  <si>
    <t>26.09. Замена вентилей диам. 15 мм.на стояке хвс кв 25</t>
  </si>
  <si>
    <t>23.09.Замена участков трубопроводов из стальных  труб диам.15 мм. Кв 30</t>
  </si>
  <si>
    <t xml:space="preserve">18.10. Перепуск стояков отопления по заявке кв.2 </t>
  </si>
  <si>
    <t>07.10. по заявке кв.56. Замена эл.лампочек, замена эл.розетки</t>
  </si>
  <si>
    <t>21.10. Ревизия эл.щитов по подъездам и по этажам</t>
  </si>
  <si>
    <t>15.11.Заявка 2949 4под. Замена эл.лампочек, осмотр эл.щитов, подтяжка контактов</t>
  </si>
  <si>
    <t>16.11.Заявка 2956 3й подъезд. Замена 4х ламп, ревизия эл.щитов в подъезде</t>
  </si>
  <si>
    <t>16.11.Заявка 2963. Замена эл.лампочки при входе в подъезд</t>
  </si>
  <si>
    <t>16.12.Течь воды в подвале. Удаление трубводопровода, замена труб, сварочные работы</t>
  </si>
  <si>
    <t>01.12.Осмотр подъезда, Выборка материалов, демонтаж старых светильников, установка эл.патронов, светильников</t>
  </si>
  <si>
    <t>13.12.Заявка 3138. Замена эл.лампочек</t>
  </si>
  <si>
    <t>01.02.Плановые работы: завоз материалов для ремонта хвс</t>
  </si>
  <si>
    <t>03.02.Работа с трубами хвс для замены</t>
  </si>
  <si>
    <t xml:space="preserve">06.02. Крепление новой трубы по подвалу </t>
  </si>
  <si>
    <t>07.02.Прокладка труб, крепление труб</t>
  </si>
  <si>
    <t>Сауков, Музыченко, Овсянников, Христофоров</t>
  </si>
  <si>
    <t>08.02.Работа в подвале по замене водопровода</t>
  </si>
  <si>
    <t>09.02.Запуск воды в новую трассу по подвалу</t>
  </si>
  <si>
    <t>Конюшенко, музыченко, Сауков</t>
  </si>
  <si>
    <t>10.02.Уборка труб из подвала</t>
  </si>
  <si>
    <t>13.02.Работа по замене водопровода</t>
  </si>
  <si>
    <t>14.02.Работа по замене водопровода</t>
  </si>
  <si>
    <t>Конюшенко, Овсянников, Сауков, Музыченко</t>
  </si>
  <si>
    <t>14.02. Уборка труб</t>
  </si>
  <si>
    <t>15.02.Работа в подвале по водопроводу</t>
  </si>
  <si>
    <t>16.02.Работы по замене водопровода</t>
  </si>
  <si>
    <t>17.02. Работы по водопроводу в подвале</t>
  </si>
  <si>
    <t>02.02.Заявки 3622,3584,3597, замена эл.лампочек на 1 этаже, в тамбуре, на улице, ревизия элщитов</t>
  </si>
  <si>
    <t>Ерюков,</t>
  </si>
  <si>
    <t>06.02.Установка эл.розеток в подвале</t>
  </si>
  <si>
    <t>07.02.Заявка 3665 кв 41. Замена эл.лампочек на 4 этаже</t>
  </si>
  <si>
    <t>08.02.Освещение подвала, установка эл.патронов</t>
  </si>
  <si>
    <t>13.02.Заявка № 22, кв 18. Замена лампочек 4 шт на площадках</t>
  </si>
  <si>
    <t>13.02.Освещение по подвалу</t>
  </si>
  <si>
    <t xml:space="preserve">17.02.Очистка электрощитов по дому от пыли и грязи </t>
  </si>
  <si>
    <t>20.02. Очистка эл.щитов по подъездам и по этажам , ревизия эл.щитов</t>
  </si>
  <si>
    <t>01.03.Заявка кв 24. замена 2х кранов на стояках хвс</t>
  </si>
  <si>
    <t>14.03. Подключение водопровода в подвале</t>
  </si>
  <si>
    <t>15.03. заявка 198. не работают краны. Очистка кранов от грязи</t>
  </si>
  <si>
    <t>Угрюмов, Денисов</t>
  </si>
  <si>
    <t>19.03. Демонтаж старого водопровода</t>
  </si>
  <si>
    <t>Сауков, Овсянников, Денисов, Христофоров</t>
  </si>
  <si>
    <t>20.03. Уборка подвальных помещений от старых труб.</t>
  </si>
  <si>
    <t>Сауков, Денисов, Овсянников.</t>
  </si>
  <si>
    <t>05.03.Заявка 143 кв 53. нет света. Ревизия эл.щита</t>
  </si>
  <si>
    <t>07.03.  Заявка кв 60. Замыкание эл.розетки</t>
  </si>
  <si>
    <t>02.04.Заявка 318 кв 16. не горит свет на улице, замена эл.лампы на подъезде 1 шт в плафоне, замена 3х лампочек по этажам.</t>
  </si>
  <si>
    <t>06.04.Ревизия эл.щитовых (15 эл.щитов) 2,3,4 подъезды</t>
  </si>
  <si>
    <t>18.04. Заявка кв 16. Нет света , замена эл.ламп 4 шт</t>
  </si>
  <si>
    <t>19.04.заявка 32. замена эллампочек 4шт  во втором подъезде</t>
  </si>
  <si>
    <t>19.04.Осмотр эл.щитовых</t>
  </si>
  <si>
    <t>20.04.Заявка 41, кв 49. замена эл.ламп 2 шт</t>
  </si>
  <si>
    <t>28.05. Заявка 257 кв 50. Не закрывается дверь подвала. Ремонт дверного полотна</t>
  </si>
  <si>
    <t>13.05.Заявка 163 кв 3. Течь воды из сливного бака, 11-40 - нет дома</t>
  </si>
  <si>
    <t>15.05.Заявка 177 кв.3. Течь воды из смывного бачка. Произведена регулировка сливного бачка</t>
  </si>
  <si>
    <t>17.05.Заявка 194 кв 3. Течь воды из слив.бачка. Осмотр, требуется замена комплектующих</t>
  </si>
  <si>
    <t>18.05. Заявка 205 кв 30. плохой напор воды, прочищены стояки</t>
  </si>
  <si>
    <t>29.05. Заявка 260. сломан кран на летнем водопроводе. Замена крана, отключение и подключение сети хвс</t>
  </si>
  <si>
    <t>29.05. Заявка 262 . Не работает смывной бачок. Осмотр, произведена прочистка крана от стояка</t>
  </si>
  <si>
    <t>02.05.Заявка 105 кв 6. Нет света в подъезде. Замена 4х элламп, осмотр эл.щитовой</t>
  </si>
  <si>
    <t>10.05.Заявка 142 кв 42. нет света на площадке, замена эл.ламп, ремонт светильника</t>
  </si>
  <si>
    <t>28.05. Заявка 248 кв 6. Нет света в тамбуре 1 эподъезда, замена 5 ламп</t>
  </si>
  <si>
    <t>28.05. Осмотр эл.щитовых</t>
  </si>
  <si>
    <t>31.05.Заявка 275 кв 32,34,35. Нет света в квартирах, осмотр: выпала клемма в эл.щите, в подвале необходимо заменить. Свет восстановлен</t>
  </si>
  <si>
    <t xml:space="preserve"> по улице  Пушкина   с июня  месяца  2011 года</t>
  </si>
  <si>
    <t>24.06.Заявка кв 37. Удаление воды по стоякам, для замены отопления</t>
  </si>
  <si>
    <t>06.06.Заявка. Замена сифона на ванне и раковины</t>
  </si>
  <si>
    <t>07.06.Заявка кв 38.Запенено, устранена течь</t>
  </si>
  <si>
    <t>09.06. Заявка, устранение течи в подвале</t>
  </si>
  <si>
    <t>23.06. Заявка кв.32. Осмотр кв.32. на предмет протекания</t>
  </si>
  <si>
    <t>24.06. Заявка кв 46.В подвале пробита канализация</t>
  </si>
  <si>
    <t>Удаление течи из под бандажа</t>
  </si>
  <si>
    <t>29.06.Заявка кв 20. Отключение стояков отопления, спуск воды из стояков</t>
  </si>
  <si>
    <t>27.06.Осмотр лестничных эл.щитов, протяжка контактов</t>
  </si>
  <si>
    <t>июнь-Техническое обслуживание внутренних систем ТВС, ГВС, ХВС и канализации</t>
  </si>
  <si>
    <t>июль-Техническое обслуживание внутренней системы электроснабжения и электротехнических устройств.</t>
  </si>
  <si>
    <t>04.08.Заявка 1766 кв 13.Между балконом и стеной щель, пропенено</t>
  </si>
  <si>
    <t>04.08.Заявка 1768кв 43.Течь кровли в туалете и лест.клетки, пропенено</t>
  </si>
  <si>
    <t>02.08.Заявка 1740 кв 50.Засор унитаза, прочистка центр.стояка</t>
  </si>
  <si>
    <t>06.08. Заявка 1791 кв 9. С потолка течет вода. Осмотр, засор стояка, прочистка стояка</t>
  </si>
  <si>
    <t>08.08.Заявка 1802. кв 12. Заторили соседи, проведено обследование</t>
  </si>
  <si>
    <t>09.08.Заявка 1811 кв 12.Забит кан.стояк на кухне, прочистка стояка</t>
  </si>
  <si>
    <t>03.08.Заявка 1753, Нет возможности войти в подъезд (домофон)</t>
  </si>
  <si>
    <t>16.08.Заявка 1873.Замена эл.лампочек 4 шт, ревизия эл.щита</t>
  </si>
  <si>
    <t>21.08.Заявка 1913 кв 46.Осмотр, выбило автомат на 40А</t>
  </si>
  <si>
    <t>29.08.Заявка 2001 .Замена эл.лампочек 4 шт</t>
  </si>
  <si>
    <t>28.09. осмотр балкона, осмотр крыши на протекание</t>
  </si>
  <si>
    <t>28.09. утепление подвальных окон</t>
  </si>
  <si>
    <t>06.09.замена крана на стояке хвс кв 14</t>
  </si>
  <si>
    <t>14.09.перекрытие стояков хвс , контроль за подвалом для включения</t>
  </si>
  <si>
    <t>06.09. ревизия эл.щита, замена лампочек</t>
  </si>
  <si>
    <t>21.09. замена эл.лампочек</t>
  </si>
  <si>
    <t>23.09. замена лампочек в 2х подъездах</t>
  </si>
  <si>
    <t>06.09. Замена вентилей диам. 15 мм. На стояке хвс</t>
  </si>
  <si>
    <t>03.10.Осмотр стояков отопления в подвале на предмет открытия</t>
  </si>
  <si>
    <t>03.10.по заявке кв.4, осмотр ситемы отопления на шум в батареях</t>
  </si>
  <si>
    <t>07.10.Перепуск стояков отопления по заявкам</t>
  </si>
  <si>
    <t>11.10. по заявке кв.19, осмотр плиты, замена автомата</t>
  </si>
  <si>
    <t>18.10. по заявке кв.31. замена эл.лампочек</t>
  </si>
  <si>
    <t>03.11.по заявлению 560 кв.53. Установка рамы и остекление между 2 и 3 этажами</t>
  </si>
  <si>
    <t>17.11.Заявка 2977 кв 43.Снятие размеров, остекление оконного проема на 5 эт.</t>
  </si>
  <si>
    <t>09.11. по заявке 2884. переркыта вода  по кух стояку кв22(дома никого нет)</t>
  </si>
  <si>
    <t>21.11.Заявка 3011. Течь воды в 4 подвале., Осмотр, установлена заглушка на канализационной сети</t>
  </si>
  <si>
    <t>28.11.Заявка 3068,кв 26. Нет воды в туалете, осмотрено, устранено</t>
  </si>
  <si>
    <t>11.11.Заявка 2897 кв 25. Осмотр, устранено (отгорели провода в распредкоробке)</t>
  </si>
  <si>
    <t>07.12.Заявка 3141 кв 2. Пробивка канализационного стояка</t>
  </si>
  <si>
    <t>02.12.Заявка кв 4. Осмотр элщитов, замена эллампочек</t>
  </si>
  <si>
    <t>07.12.Ревизия эл.щита в подвале, протяжка контактов, изоляция наконечников на проводах</t>
  </si>
  <si>
    <t>01.02.Заявка 3612.кв 10. Холодные батареи, перепуск стояков</t>
  </si>
  <si>
    <t>02.02.Заявка 3626 кв.21. Холодные батарей, перепуск стояков отопления</t>
  </si>
  <si>
    <t>03.02. Заявка кв 21,24. Капает с потолка, осмотр стояка канализации, перенос  работ на 06.02.</t>
  </si>
  <si>
    <t>Ставицкий, Овсянников, Кривенчук</t>
  </si>
  <si>
    <t>14.02.Заявка 27 (кв30).Замена крана на стояке</t>
  </si>
  <si>
    <t>22.02. Работы по замене водопровода хв в подвале</t>
  </si>
  <si>
    <t>27.02.Прокладка труб хвс по подвалу</t>
  </si>
  <si>
    <t>28.02. Плановые. Течь стояка канализации, замена канализации стояка</t>
  </si>
  <si>
    <t>28.02.Работы в подвале по хвс</t>
  </si>
  <si>
    <t>29.02.Работы в подвале по хвс</t>
  </si>
  <si>
    <t>Музыченко,Сауков, Конюшенко</t>
  </si>
  <si>
    <t>10.02. Заявка кв 58. Нет света на входе. Замена эл.лампочек</t>
  </si>
  <si>
    <t>16.02.Ревизия эл.щитов по подъездам и по этажам</t>
  </si>
  <si>
    <t>24.02.Заявка 84, кв.22. Нет света в квартире, осмотрено, устранено</t>
  </si>
  <si>
    <t>27.02.Установка розеток 4 шт в подвале</t>
  </si>
  <si>
    <t>02.03.Заявка 123, кв 24. Осмотр стояков, составление акта</t>
  </si>
  <si>
    <t xml:space="preserve"> Конюшенко</t>
  </si>
  <si>
    <t>05.03. кв 24. Нет тепла на кухне, переварка стояка отопления</t>
  </si>
  <si>
    <t>01.03.Сварочные работы по водопроводу в подвале</t>
  </si>
  <si>
    <t>02.03. Работы по водопроводу в подвале</t>
  </si>
  <si>
    <t>05.03. Работы по водопроводу в подвале</t>
  </si>
  <si>
    <t>Сауков, Овсянников, Конюшенко, Христофоров</t>
  </si>
  <si>
    <t>06.03. Работы по водопроводу в подвале</t>
  </si>
  <si>
    <t>07.03. Работы по водопроводу в подвале</t>
  </si>
  <si>
    <t>11,03. Работы по водопроводу в подвале</t>
  </si>
  <si>
    <t>Овсянников, Сауков, Ерюков</t>
  </si>
  <si>
    <t>12,03. Работы по водопроводу в подвале</t>
  </si>
  <si>
    <t>Овсянников, Сауков, Конюшенко</t>
  </si>
  <si>
    <t>12.03.Заявка 180. Прочистка стояка хвс</t>
  </si>
  <si>
    <t>13,03. Работы по водопроводу в подвале</t>
  </si>
  <si>
    <t>14,03. Работы по водопроводу в подвале</t>
  </si>
  <si>
    <t>Овсянников, Сауков,</t>
  </si>
  <si>
    <t>15.03. демонтаж старого водопровода</t>
  </si>
  <si>
    <t>19.03. Заявка 218. Замена кранов на стояках хвс, чистка труб</t>
  </si>
  <si>
    <t>20.03. Заявка 228 кв 43. Нет воды в туалете. Ощищена гибкая подводка</t>
  </si>
  <si>
    <t>05.03.Замыкание переноски, ремонт кабеля, изоляция</t>
  </si>
  <si>
    <t>15.03. Заявка 206. Замена эл.ламп. Ремонт патрона</t>
  </si>
  <si>
    <t>03.04.Заявка 267, кв 43. Течет кровля. Осмотрено, течь из вент короба от таяния куржака, запланировано на летний период устранение причины течи.</t>
  </si>
  <si>
    <t>Ерлин, Кривенчук</t>
  </si>
  <si>
    <t>03.04.Заявка 283 кв 28. Капает вода с потолка. Обследовано: на потолке в прихожей площадью 0,5м2, в спальне 0,3м2, причина  таяние куржака в венткоробах.</t>
  </si>
  <si>
    <t xml:space="preserve">03.04.Заявка 307 кв 10. Разрушается балконная плита в кв13. Обследовано. Балкон разрушается, выпадают фрагменты плиты, выдано предписание кв 13, не пользоваться балконом. </t>
  </si>
  <si>
    <t>03.04. Заявка 283. Журчит вода в батареях. Замена кранов на стояках отопления запланирована на летний период</t>
  </si>
  <si>
    <t>03.04.Заявка 320 кв 29. Под ванной течет вода. Демонтаж старого сифона, сборка и установка нового</t>
  </si>
  <si>
    <t>16.04. Заявка кв 59. Нет воды, остановка стояка хвс, замена крана и 2м стояка запуск стояка</t>
  </si>
  <si>
    <t>19.04.Заявка33 кв 30. течь хвс. Осмотр, подтекание гибкой подводки от смесителя на кухне, перекрыты краны.</t>
  </si>
  <si>
    <t>26.04.Заявка 79 кв 29. Текут краны в ванной. Произведена замена сальниковой набивки на вентилях</t>
  </si>
  <si>
    <t>05.04.Заявка 330. Нет света на кухне и в зале. Замена автомата</t>
  </si>
  <si>
    <t>10.04.Плановая ревизия эл.щитов в 1 подъезде</t>
  </si>
  <si>
    <t>12.04. Ревизия эл.щитов 2 подъезд.</t>
  </si>
  <si>
    <t>16.04.Ревизия эл.щитов 3.4. подъезды</t>
  </si>
  <si>
    <t>23.04.заявка 62 кв.31. замена эл.лампы 2шт</t>
  </si>
  <si>
    <t>02.05. Ремонт ограждения кон.площадки</t>
  </si>
  <si>
    <t>16.05. Заявка 189 кв 45. Плохой напор воды на кухне. Проведена прочистка гибкой подводки</t>
  </si>
  <si>
    <t>03.05.Заявка 126 2 подъед, 5 этаж. Замена 2х эл.ламп</t>
  </si>
  <si>
    <t xml:space="preserve"> по улице  Пушкина   с июня месяца  2011 года</t>
  </si>
  <si>
    <t xml:space="preserve">10.06. Осмотр подвала, </t>
  </si>
  <si>
    <t>06.06.Замена стояков хвс по подвалу</t>
  </si>
  <si>
    <t>Денисов, Сауков, Конюшенко</t>
  </si>
  <si>
    <t>06.06.заявка кв 107, осмотр кв 110, устранение течи</t>
  </si>
  <si>
    <t>07.06.Замена стояков хвс</t>
  </si>
  <si>
    <t xml:space="preserve">07.06.заявка кв 19, осмотр , замена стояка хвс </t>
  </si>
  <si>
    <t>07.06.Демонтаж старого водопровода в подвале</t>
  </si>
  <si>
    <t>Музыченко, Овсянников, Денисов</t>
  </si>
  <si>
    <t>08.06.Заявка кв 51. Течь воды на кухне, Нет никого дома</t>
  </si>
  <si>
    <t>08.06.Заявка кв 53. Течь воды с трубы, подмотка пакли</t>
  </si>
  <si>
    <t>09.06.Заявка кв 76.Течь воды из унитаза, перелив устранен</t>
  </si>
  <si>
    <t>09.06.Заявка кв 53. Замена клапана</t>
  </si>
  <si>
    <t>10.06.Заявка кв 25. Осмотр нет воды в туалете и ванной</t>
  </si>
  <si>
    <t>16.06.Заявка кв.70. Замена стояков хвс.</t>
  </si>
  <si>
    <t>20.06. Заявка кв 53. Осмотр течь воды из сл. Бачка</t>
  </si>
  <si>
    <t>21.06.кв 49.Заявка. Осмотр, засор по стояку в туалете</t>
  </si>
  <si>
    <t>21.06.Заявка кв.101. Прочистка раковины</t>
  </si>
  <si>
    <t>22.06.Заявка кв 49.Пробивка центр.стояка канализации</t>
  </si>
  <si>
    <t>24.06.Заявка кв.73.Очистка крана , снятие и установка переключение стояка</t>
  </si>
  <si>
    <t>29.06.Заявка кв 69.Очистка крана по стояку</t>
  </si>
  <si>
    <t>16.06.Заявка кв 48.Осмотр эл.проводки (запах)</t>
  </si>
  <si>
    <t>17.06.Заявка. Ревизия эл.щита на 5-м этаже</t>
  </si>
  <si>
    <t>24.06.Заявка кв 73.Замена эл.лампочек в подъезде</t>
  </si>
  <si>
    <t>27.06.Заявка 8й подъезд. Замена эл.лампочек, Ревизия эл.щитов</t>
  </si>
  <si>
    <t>28.06.Заявка 2 подъезд. Заявка, замена эл.ламп, ревизия эл.щитов</t>
  </si>
  <si>
    <t>июль - Техническое обслуживание внутренних систем ТВС, ГВС, ХВС и канализации</t>
  </si>
  <si>
    <t>июль- Техническое обслуживание внутренней системы электроснабжения и электротехнических устройств.</t>
  </si>
  <si>
    <t>06.08.Заявка 1794. кв 115. Течь воды из батареи на кухне, перкрыт стояк</t>
  </si>
  <si>
    <t>09.08.Заявка 1817 7подъезд. Шум в батареях, осмотрено</t>
  </si>
  <si>
    <t>05.08.Заявка кв 2 Демонтаж унитаза, установка батареи</t>
  </si>
  <si>
    <t>Мезенцев</t>
  </si>
  <si>
    <t>07.08.Заявка 1799 кв 71.Течь воды под раковиной, устранено</t>
  </si>
  <si>
    <t>08.08.Заявка кв 2. Демонтаж стояка, монтаж стояка</t>
  </si>
  <si>
    <t>11.08.Заявка 1835 кв 18.Течь трубы в подвале. Ослабла заглушка, устранено</t>
  </si>
  <si>
    <t>20.08.Заявка 1909 кв 106. Засор канализации, прочищено</t>
  </si>
  <si>
    <t>20.08.Заявка 1912 кв 9. Перекрыть стояки отопления, стояки перекрыты</t>
  </si>
  <si>
    <t>31.08.Заявка 2023 кв3. Течь воды в подвале.Осмотр</t>
  </si>
  <si>
    <t>31.08.Заявка 2023 кв3. Заварен стояк отопления</t>
  </si>
  <si>
    <t>02.08.Заявка 1734 кв 71.Замена лампочек 5 шт</t>
  </si>
  <si>
    <t>03.08.Заявка 1752 кв.31. Замена дампочек 3 шт</t>
  </si>
  <si>
    <t>05.08.Заявка 1787 кв 1.Замена эл.лампочек 4 шт</t>
  </si>
  <si>
    <t>31.08.Заявка 2021 кв 39.Замена выключателя, осмотр элщитов и общедомового освещения</t>
  </si>
  <si>
    <t>30.09.утепление подвальных окон</t>
  </si>
  <si>
    <t>Христофоров,Овсянников</t>
  </si>
  <si>
    <t>02.09. замена 2х сборок на стояках отпления в подвале</t>
  </si>
  <si>
    <t>28.09. сварочные работы по замене лежака отопления в подвале</t>
  </si>
  <si>
    <t>Сауков, Музыченко, Крупич</t>
  </si>
  <si>
    <t>01.09..Осмотр водопровода, канализации в подвале</t>
  </si>
  <si>
    <t>14.09. устранение течи бачка кв 101</t>
  </si>
  <si>
    <t>23.09.установление заглушки д15 на кран, перекрытие стояков</t>
  </si>
  <si>
    <t>27.09.устранение течи в подвале</t>
  </si>
  <si>
    <t>02.09. ревизия эл.щита, устранение замыкания эл.проводки кв 33</t>
  </si>
  <si>
    <t>02.09.обслуживание эл.щитов по подъездам</t>
  </si>
  <si>
    <t>14.09. замена эл.лампочек  (кв.3)</t>
  </si>
  <si>
    <t>23.09. ревизия эл.щитов с 1 по 5 этаж</t>
  </si>
  <si>
    <t>20.09. замена эл.лампочек (кв31)</t>
  </si>
  <si>
    <t xml:space="preserve">08.09. Устранение течи на стояке хвс </t>
  </si>
  <si>
    <t>03.10.утепление подвальных окон</t>
  </si>
  <si>
    <t>05.10.утепление подвальных окон</t>
  </si>
  <si>
    <t>04.10. по заявке кв. 88 осмотр стояка и приборов отопления в квартире</t>
  </si>
  <si>
    <t>04.10. Осмотрено краны на стояках открыты, 18,107,20,43</t>
  </si>
  <si>
    <t>04.10.по заявке кв.2, осмотр подключения батареи из подвала в квартиру</t>
  </si>
  <si>
    <t>10.10. по заявке кв. 88 осмотр стояка и приборов отопления в квартире</t>
  </si>
  <si>
    <t>10.10. по заявке кв. 20, перепуск стояков отопления</t>
  </si>
  <si>
    <t>10.10.перепуск стояков отопления в подвале</t>
  </si>
  <si>
    <t>18.10. Перепуск стояков отопления по заявке кв.11.</t>
  </si>
  <si>
    <t>28.10. устранение течи канализации в подвале</t>
  </si>
  <si>
    <t>31.10.Ревизия сборок на предмет протекания, устранение течи</t>
  </si>
  <si>
    <t>03.10. По заявке кв.108. Замена эл.лампочек</t>
  </si>
  <si>
    <t>11.10. по заявке кв.54. Замена эл.лампочек, ревизия эл.щита</t>
  </si>
  <si>
    <t>13.10. по заявке кв 94.Замена эл.лампочек</t>
  </si>
  <si>
    <t>20.10.  по заявке кв.9. Осмотр розетки в квартире, осмотр щита, замена автомата</t>
  </si>
  <si>
    <t>08.11. по заявкам 2831,2858 кв 31. остеление окна в 3 подъезде между 1 и 2 этажами</t>
  </si>
  <si>
    <t>25.11.Запенивание дыр</t>
  </si>
  <si>
    <t>11.11. Заявка 2896 кв 108. Холодные батареи, перепуск стояка</t>
  </si>
  <si>
    <t>02.11.Заявка 2807 кв 71. Сорвало кран в ванной, заменен болт</t>
  </si>
  <si>
    <t>22.11.Заявка 3000 кв 116. В туалете подтекает труба. Хозяев нет дома</t>
  </si>
  <si>
    <t>07.11. по заявке 2842 кв 66. Замена автомата, ревизия эл.щитов</t>
  </si>
  <si>
    <t>14.11.Заявка 2911 кв49. Осмотр, выбило автомат.Ревизия эл.щита</t>
  </si>
  <si>
    <t>15.11.Заявка 2944 кв.104. Замена эл.ламп 4шт, ревизия эл.щитов, замена вставок  3шт</t>
  </si>
  <si>
    <t>15..11.Заявка 2946 1 подъезд. Замена лампочек 3 шт., осмотр щитов</t>
  </si>
  <si>
    <t>16.11.Заявка 2945 кв18. Замена эл.лампочек 3 шт.Ревизия элщитов в подъезде</t>
  </si>
  <si>
    <t>07.12.Заявка 3137.кв.1.Перепуск стояков в подвале</t>
  </si>
  <si>
    <t>15.12.Заявка 3238 кв 73. Отключение стояка, устранение тичи, осмотр подвалов</t>
  </si>
  <si>
    <t>05.12.Заявка 3096. 3подъезд нет света, ревизия элщитов. Замена лампочек</t>
  </si>
  <si>
    <t>05.12.Заявка кв 54.Ревизия элщитов</t>
  </si>
  <si>
    <t>13.12.Заявка 3168,3095,3191,3192,3138. Замена лампочек в подъездах и на входе</t>
  </si>
  <si>
    <t>16.12.Заявка 3240,3224 . Замена лампочек</t>
  </si>
  <si>
    <t>21.12.Заявка 3268 кв 48. Замена эл.лампочек</t>
  </si>
  <si>
    <t>02.02.Заявка 3617, 2 подъезд. Сломана входная дверь. Ремонт двери</t>
  </si>
  <si>
    <t>27.02.Осмотр и замер окон для остекления</t>
  </si>
  <si>
    <t>06.02.Заявка 3655 (кв48). Хол стояк на кухне, стояк перепущен</t>
  </si>
  <si>
    <t>16.02.Заявка 47. Холодные батареи, перепуск стояков</t>
  </si>
  <si>
    <t>06.02.Заявка 3644 (кв4). Течь воды, наложен бандаж</t>
  </si>
  <si>
    <t>08.02. Заявка кв 39. Нет воды, осмотрено</t>
  </si>
  <si>
    <t>27.02.Заявка 101. Нет воды, прочищено</t>
  </si>
  <si>
    <t>03.02.Заявка. Замена лампочек на 1 этаже</t>
  </si>
  <si>
    <t>13.02. Заявка № 16. кв 51. Нет света на 1 этаже. Замена лампочек, ревизия эл.щитов</t>
  </si>
  <si>
    <t>17.02.Заявка 56 кв 82. Нет света, замена лампочек</t>
  </si>
  <si>
    <t>17.02.Заявка 55, кв 68.Закрыть щиток на этажах, ремонт замков эл.щитков</t>
  </si>
  <si>
    <t>27.02. Очистка эл.щитов от пыли, ревизия эл.щитов 1,2,3 подвал</t>
  </si>
  <si>
    <t>29.02. Очистка эл.щитов от пыли, ревизия эл.щитов по подвалам</t>
  </si>
  <si>
    <t>19.03. Осмотр сетей отопления в подвале.</t>
  </si>
  <si>
    <t>20.03. Заявка 227. хол.батареи кв.40. Перебор сборки, перепуск стояков отопления</t>
  </si>
  <si>
    <t>14.03.заявка 193. нет воды. Устранено</t>
  </si>
  <si>
    <t>Ерлин. Денисов</t>
  </si>
  <si>
    <t>16.03. Заявка 209. заменить кран на стояке хвс. Замена крана</t>
  </si>
  <si>
    <t>02.03. Заявка 122, кв 28. Ремонт выключателя, замена эл.лампочек</t>
  </si>
  <si>
    <t>14.03. Заявка 187, 200. Нет света на лест., замена лампочек</t>
  </si>
  <si>
    <t>03.04.Заявка 269 кв 28. С потолка течет вода. Осмотр, в подъезде следы протекания вент короба 0,5м2, хозяев дома нет</t>
  </si>
  <si>
    <t>10.04.Заявка 364 кв 5. Не работает кран, гнт воды. Произведена прочистка крана, стояка</t>
  </si>
  <si>
    <t>23.04.Заявка 59 кв 101, течь в туалете, замена сальниковой набивки на вводном кране</t>
  </si>
  <si>
    <t>02.04.Заявка 300, кв 71, на 1 этаже нет света, замена лампочек 3шт</t>
  </si>
  <si>
    <t>05.04.Заявка 332. Нет света в квартире, временно устранено, требуется замена фазной колодки</t>
  </si>
  <si>
    <t>09.04.Заявка 352 кв 18. Нет света 1 этаж, 8 подъезд, замена 3 лампочек</t>
  </si>
  <si>
    <t>09.04.Заявка 353, нет света 1,2 этаж, третий подъезд, замена 3шт ламп</t>
  </si>
  <si>
    <t>19.04.Заявка 36, кв.70 снятие дверцы, правка, ремонт замка, установка на место, закрытие на замок</t>
  </si>
  <si>
    <t>10.05.Заявка 149 кв 66. Течь в подвале, обследовано: течь умтранена (прогнил стояк отопления)</t>
  </si>
  <si>
    <t>Овсянников, Денисов, Музыченко</t>
  </si>
  <si>
    <t>13.05. Заявка 164 кв 24. Плохой набо в ванной. Осмотрено, подгнало окалину под кран-буксу смесителя от платной услуги отказались</t>
  </si>
  <si>
    <t>19.05. Заявка 209 кв 38. Не поступает вода в смывной бак, устранено, засор фильтра</t>
  </si>
  <si>
    <t>22.05. Заявка 224 кв 61. В подвале течь воды. Обследовано течь стояка и лежака отопления</t>
  </si>
  <si>
    <t>22.05.Заявка 225 кв 61 в квартире надо меять стояк хвс, течь воды, обследовано</t>
  </si>
  <si>
    <t>29.05. Заявка 264 кв 58. Не поступает вода в смывной бачок. Остановка стояка хвс, демонтаж и прочистка  крана от стояка</t>
  </si>
  <si>
    <t>30.05.Заявка 270 кв 66. Под ванной подтекает вода. Осмотр, течь устранена, подмотка изолентой под трубу слива сифона</t>
  </si>
  <si>
    <t>02.05.Заявка 103 кв 48. Нет света в подъезде и над подъездом, ремонт патрона, замена ламп 3 шт</t>
  </si>
  <si>
    <t>03.05.Заявка 121 кв 48. Нет света при входе в подъезд. Замена 1 патрона, замена ламп 2шт</t>
  </si>
  <si>
    <t>03.05.Заявка 122 кв 71. Нет света на 2,4 этажах, замена 3 ламп</t>
  </si>
  <si>
    <t>10.05. осмотр щитовых 1,2,3 подъезды</t>
  </si>
  <si>
    <t>14.05.Заявка 162 кв 104. Нет света на 5-м этаже, замена 2х ламп</t>
  </si>
  <si>
    <t>23.05.Заявка 228 к 108, замена 5 элламп, ремонт выключателя, осмотр эл.щитов (подвал)</t>
  </si>
  <si>
    <t>24.05. Заявка 239 кв 1. Посмотреть автомат в щитке, хозяев нет дома</t>
  </si>
  <si>
    <t>25.05.Заявка 241 в 1 подъезде нет света. Замена 3 ламп</t>
  </si>
  <si>
    <t xml:space="preserve">25.05. кв 1 Замена автомата 47-29 25 А </t>
  </si>
  <si>
    <t xml:space="preserve"> по улице  Пушкина   с июня  месяца 2011 года</t>
  </si>
  <si>
    <t>июль только вавоз ТБО и ЖБО</t>
  </si>
  <si>
    <t>июнь 2011 только вывоз ТБО и ЖБО</t>
  </si>
  <si>
    <t>август - ТБО и ЖБО</t>
  </si>
  <si>
    <t>Конюшенко, Христофоров, музыченко</t>
  </si>
  <si>
    <t>09.09. замена коньков на крыше</t>
  </si>
  <si>
    <t>21.02.Уборка с крыши снега</t>
  </si>
  <si>
    <t xml:space="preserve">02.02.Заявка 3619 (3 подъезд), 3629 (кв71) замена эл.лампочек, </t>
  </si>
  <si>
    <t>24.04.Заявка 72 кв4. Болтается шифер на крыше. Осмотрено</t>
  </si>
  <si>
    <t>25.04.Ремонт кровли, установка листа шифера.</t>
  </si>
  <si>
    <t>03.04.Заявка 326 кв 1. Засор дворовой канализации, пробивка тросом между выгребной ямой и смотровым колодцем</t>
  </si>
  <si>
    <t>Овсянников, Музыченко, Угрюмов</t>
  </si>
  <si>
    <t>02.05. Заявка 62 от 23.04. кв 4. В подвале подтекают трубы. Замена 3 м трубы д 25 сборки д 25 на сетях хвс</t>
  </si>
  <si>
    <t xml:space="preserve"> по улице  7 км   с января  месяца  2011 года</t>
  </si>
  <si>
    <t>24.06.Заявка. Ремонт крышки выхода на крышу</t>
  </si>
  <si>
    <t>20.06.Заявка. Пробивка канализации</t>
  </si>
  <si>
    <t>Музыченко, Овсянников, Конюшенко</t>
  </si>
  <si>
    <t>21.06. Заявка кв 11. Пробивка кан.стояка общего</t>
  </si>
  <si>
    <t>28.06.Заявка кв 11.Пробивка канализации</t>
  </si>
  <si>
    <t>29.06.Заявка кв 8.Устранение течи крана от стояка</t>
  </si>
  <si>
    <t>15.06.замена лампочек</t>
  </si>
  <si>
    <t>24.06.Замена эл.лампочек, Ревизия эл.щитов</t>
  </si>
  <si>
    <t>27.06.Протяжка контактов в эл.щитах</t>
  </si>
  <si>
    <t>30.06.замена лампочек</t>
  </si>
  <si>
    <t>26.07..замена лампочек</t>
  </si>
  <si>
    <t>электромонтер</t>
  </si>
  <si>
    <t xml:space="preserve">04.08.Заявка 1761 кв11. Забита канализация в ванной, туалете, на кухне. прочистка </t>
  </si>
  <si>
    <t>Овсянников, Мезенцев, Конюшенко</t>
  </si>
  <si>
    <t>05.08.Заявка 1783, кв 18.Замена трубы отопления</t>
  </si>
  <si>
    <t>Крупич, Сауков, Овсянников</t>
  </si>
  <si>
    <t>08.08.Заявка 1807 кв 11. Прочистка центрального стояка</t>
  </si>
  <si>
    <t>15.08.Заявка 1858 кв 14.Осмотр, требуется замена комплектующих</t>
  </si>
  <si>
    <t>15.08.Заявка 1860 кв 11. Засор канализации, Прочистка</t>
  </si>
  <si>
    <t>29.08.Заявка 1986 кв 4.  Прочистка центральной канализации</t>
  </si>
  <si>
    <t>04.08.Заявка 1773 кв 11. Нет света в подъезде, осмотр, определение материалов</t>
  </si>
  <si>
    <t>05.08.Заявка 1781 кв11. Установка патронов 2шт., установка лампочек 5 шт.</t>
  </si>
  <si>
    <t>09.08.Заявка кв 13. Замена эллампочек, ревизия эл.щитов</t>
  </si>
  <si>
    <t>29.08.Заявка. Замена эл.лампочек</t>
  </si>
  <si>
    <t>31.08.Замена лампочек, осмотр крыши для установки кобры, замер длины кабеля</t>
  </si>
  <si>
    <t>22.09. устранение течи на регистрах кв1,13,14</t>
  </si>
  <si>
    <t>27.09. установка кранов на батарею отопления кв19</t>
  </si>
  <si>
    <t>29.09.замена лежака отопления, установка кранов на батарею в  квартире 15</t>
  </si>
  <si>
    <t>01.09.Осмотр сети канализации в подвале</t>
  </si>
  <si>
    <t>01.09. ревизия эл.щитов в подъездах</t>
  </si>
  <si>
    <t>05.09. ревизия щитов в подъездах, замена лампочек</t>
  </si>
  <si>
    <t>19.09. замена эл.лампочек в подъездах</t>
  </si>
  <si>
    <t>21.09. осмотр эл.щитов, замена эл.лампочек</t>
  </si>
  <si>
    <t>27.09. ревизия эл.щитов</t>
  </si>
  <si>
    <t>19.10.Уборка мусора с кровли, ремонт кровли бикростом</t>
  </si>
  <si>
    <t>12.10. по заявке кв.14 осмотр кранов на батарее отопления</t>
  </si>
  <si>
    <t>25.10.кв.12 Перегрупировка батареи-радиаторов, подключение на 26.10.</t>
  </si>
  <si>
    <t>26.10.кв.12 Сварочные работы по отоплению</t>
  </si>
  <si>
    <t>03.10. Подготовка и осмотр электрооборудования для подключения кобры</t>
  </si>
  <si>
    <t>19.10. Замена лампочек</t>
  </si>
  <si>
    <t>17.11.Заявка 2968 кв4.Течь трубы отопления в подъезде. Отключение системы отопления 2 раза, разбор и ремонт муфты соединения, запуск системы отопления.</t>
  </si>
  <si>
    <t>Христофоров , Крупич</t>
  </si>
  <si>
    <t>18.11.Заявка 2980 кв.12. Холодно. Осмотр системы отопления , перепуск стояка</t>
  </si>
  <si>
    <t>09.11.по заявке 2874 кв6. Замена эл.лампочек</t>
  </si>
  <si>
    <t>14.11. Заявка 2922 кв 12. Осмотр эл.щитов, установлен выключатель в подъезде</t>
  </si>
  <si>
    <t>16.11.Заявка 2995 кв12. Осмотр, устранение неисправностей после затопления квартиры</t>
  </si>
  <si>
    <t>17.11.Заявка 2970 кв12. Замена выключателя, устранение неисправностей после затопления</t>
  </si>
  <si>
    <t>17.11. Осмотр эл.щитов, протяжка контактов, замена ламп 4 шт, ревизия патрона</t>
  </si>
  <si>
    <t>15.12. ремонт люков на крыше</t>
  </si>
  <si>
    <t>15.12.Заявка 3234, 3218. Осмотр канал.труб по замене, осмотр водопровода,</t>
  </si>
  <si>
    <t>19.12.Заявка кв 4. Замена канализационного стояка, замена водопроводного стояка по подвалу</t>
  </si>
  <si>
    <t>Ерлин, Конюшенко, Музыченко, Сауков</t>
  </si>
  <si>
    <t>13.02.Заявка кв 13. Снятие батареи, установка кранов</t>
  </si>
  <si>
    <t>15.02.Заявка кв 7. хол.батареи, перепуск стояка</t>
  </si>
  <si>
    <t>21.02.Заявка. Нет тепла, составление актов кв 2</t>
  </si>
  <si>
    <t>Денисов, Ерлин, Ставицкий</t>
  </si>
  <si>
    <t>22.02. Заявка 80 кв 20,течь батареи, мзготовление и установка бандажа</t>
  </si>
  <si>
    <t>01.02.кв 7 нет воды. Осмотр 3-го этажа по воде</t>
  </si>
  <si>
    <t>03.02.Осмотр в подвале водопроводной трубы, составление акта на затопление</t>
  </si>
  <si>
    <t>06.02.заявка кв 7,1,2. Нет холодной воды. Замена водопроводной трубы по подвалу на полипропилен</t>
  </si>
  <si>
    <t>07.02. Заявка кв 7. Нет воды</t>
  </si>
  <si>
    <t>22.02.Заявка 74, кв 3. Течь канализации, прочистка канализации</t>
  </si>
  <si>
    <t>10.04.Заявка 363. кв 9. Течь трубы отопления. Остановка дома, слив воды из системы, демонтаж регистра, установка кранов д 20 -2 шт. Запуск дома</t>
  </si>
  <si>
    <t>Музыченко, Сауков, Ерлин</t>
  </si>
  <si>
    <t>13.04.Заявка кв 13. Течь батареи на кухне. Остановка дома, слив из системы отопления, проведение газосварочных работ, установка резьб и кранов д20-2шт, запуск дома</t>
  </si>
  <si>
    <t>18.04.Заявка кв 10. На кухне течет труба отопления. Остановка дома, слив воды из системы. Демонтаж чуг.радиатора вскраытие бет.стяжки, сварочные работы по замене лежака , установка радиатора, запуск дома</t>
  </si>
  <si>
    <t>26.04.Заявка 76. кв 10.Течь батареи, засор канализации. Подготовка для проведения ремонтных работ на лежаке отопления. Установка бандажа. Пробивка канализации из квартиры и подвала</t>
  </si>
  <si>
    <t>30.05. Осмотре сети канализации</t>
  </si>
  <si>
    <t>15.06. замена лампочек</t>
  </si>
  <si>
    <t>09.08.Заявка 1808 кв 4.Замена лампочек 4 шт., ревизия элщитов</t>
  </si>
  <si>
    <t>29.09.Замена лежака отопления, установка кранов на батарею кв 1</t>
  </si>
  <si>
    <t>04.10. завка кв 6. Отключение дома от отопления (убрать батареи)</t>
  </si>
  <si>
    <t>05.10. завка кв 9. Установка кранов на батареи, запуск отопления дома, перепуск стояков кв 11,12.</t>
  </si>
  <si>
    <t>18.10. Подготовка и осмотр электрооборудования для подключения кобры</t>
  </si>
  <si>
    <t>08.11. по заявке кв2,6. Замена стояка хол.воды из подвала на 2 -й этаж</t>
  </si>
  <si>
    <t>21.11.Заявка 3008 кв12. Забит канализационный стояк. Вызов асмашины, после чего прочистка канализации, выезжали 2 раза</t>
  </si>
  <si>
    <t>17.11.Осмотр эл.щитов в доме, протяжка контактов, замена 2х лампочек</t>
  </si>
  <si>
    <t>21.02.Заявка. Нет тепла, составление актов кв 1-5,10</t>
  </si>
  <si>
    <t>15.02.Заявка кв 15. нет воды, требуется замена стояка</t>
  </si>
  <si>
    <t>17.02.Заявка 53 кв 11.Нет воды, прочистка лежака хвс</t>
  </si>
  <si>
    <t>21.02.Заявка кв 3. Забита канализация, пробивка канализации</t>
  </si>
  <si>
    <t>Музыченко, Ерлин, Денисов</t>
  </si>
  <si>
    <t>01.03. Очистка кровли от снега</t>
  </si>
  <si>
    <t>Овсянников, Христофоров, Денисов</t>
  </si>
  <si>
    <t>28.05. Заявка 252 кв 3. Засор канализации в подвале. Обследовано, полная выгребная яма, протечек нет</t>
  </si>
  <si>
    <t>30.05. кв 3. Течь канализации под полом, осмотрено, течи нет.</t>
  </si>
  <si>
    <t>31.05.Заявка 276 кв 3. В подвале течь канализации. Прочистка троссом  системы канализации в подвале кв 3.</t>
  </si>
  <si>
    <t>июнь - Техобслуживание  конструктивных частей жилого дома</t>
  </si>
  <si>
    <t>сл-ремонтники, элгазосварщик</t>
  </si>
  <si>
    <t>Стоимость материалов</t>
  </si>
  <si>
    <t xml:space="preserve">09.06. Осмотр в электрощите, подключение эл.счетчика, </t>
  </si>
  <si>
    <t xml:space="preserve"> по улице  Западная   с июня    месяца 2011 года</t>
  </si>
  <si>
    <t>июнь - замена  инженерных сетей в подвале</t>
  </si>
  <si>
    <t>июль - замена  инженерных сетей в подвале</t>
  </si>
  <si>
    <t>19.09.замена сборки в подвале</t>
  </si>
  <si>
    <t xml:space="preserve">23.09.Замена стояков гвс, хвс </t>
  </si>
  <si>
    <t>Сидоренков, Мозгов, Ермолаев,Сауков,Денисов</t>
  </si>
  <si>
    <t>19.09. Замена сборок на хвс</t>
  </si>
  <si>
    <t>28.09.замена водопровода в квартире</t>
  </si>
  <si>
    <t>21.09. работа по замене канализации</t>
  </si>
  <si>
    <t xml:space="preserve">22.09.Устранение засоров внутренних канализационных трубопроводов </t>
  </si>
  <si>
    <t>Сидоренков, Мозгов,Ермолаев</t>
  </si>
  <si>
    <t>27.09. пробивка канализации</t>
  </si>
  <si>
    <t>Шипчин, Мозгов, Ермолаев</t>
  </si>
  <si>
    <t>02.09.протяжка и чистка контакной группы в водных щитовых</t>
  </si>
  <si>
    <t>09.09. протяжка в щитовой</t>
  </si>
  <si>
    <t>25.10.Закрытие подвальных окон</t>
  </si>
  <si>
    <t>06.10. по заявке кв31,1,27,34, перепуск стояков отопления</t>
  </si>
  <si>
    <t>Мозгов, Ермолаев, Сидоренков</t>
  </si>
  <si>
    <t>07.10. Сварочные работы в подвале</t>
  </si>
  <si>
    <t>Сауков, Мозгов, Ермолаев, Сидоренков</t>
  </si>
  <si>
    <t>24.10. Перепуск стояков</t>
  </si>
  <si>
    <t>02.10. осмотр системы канализации в подвале</t>
  </si>
  <si>
    <t>Ермолаев, Сидоренков</t>
  </si>
  <si>
    <t>03.10. по заявке кв.47, ремонт стояка гвс</t>
  </si>
  <si>
    <t>07.10. Прочистка стояка холодной воды</t>
  </si>
  <si>
    <t>Мозгов, Ермолаев,Сидоренков</t>
  </si>
  <si>
    <t>11.10.замена канализации</t>
  </si>
  <si>
    <t>Ермолаев</t>
  </si>
  <si>
    <t>13.10. по заявке, пробивка канализации</t>
  </si>
  <si>
    <t>19.10. по заявке кв47. пробивка канализации</t>
  </si>
  <si>
    <t>Мозгов, Сидоренков</t>
  </si>
  <si>
    <t>21.10. Замена разводки ХВС</t>
  </si>
  <si>
    <t>24.10.Сварочные работы по подвалу</t>
  </si>
  <si>
    <t>28.10. замена стояка гвс по заявке кв 53</t>
  </si>
  <si>
    <t>Денисов, Сидоренков</t>
  </si>
  <si>
    <t>25.10. по заявке кв4. Проверка освещения</t>
  </si>
  <si>
    <t>28.11.Заявка кв 40. Бежит батарея. Перебрана сборка, перепущен стояк.</t>
  </si>
  <si>
    <t>Шипчин, Мозгов, Прытков</t>
  </si>
  <si>
    <t>09.11. заявка 2876 кв.27.Заливают из кв.30. осмотр подводки подтяжка соединения</t>
  </si>
  <si>
    <t>16.11. Заявка кв47. Течь канализации в квартире.Разборка и сборка кан, замена уплотнительной прокладки</t>
  </si>
  <si>
    <t>07.11. Заявка 2897 кв.3. Замена лампочек в подъезжде</t>
  </si>
  <si>
    <t>28.11.Замена лампочек 3 шт</t>
  </si>
  <si>
    <t>02.12.Заявка кв 48.Холодные батареи, перепущен стояк</t>
  </si>
  <si>
    <t>24.02.Уборка снега с крыши</t>
  </si>
  <si>
    <t>09.02.Перепуск стояков</t>
  </si>
  <si>
    <t>21.02.Заявка 60 кв 40. Течь с квана батареи</t>
  </si>
  <si>
    <t>24.02.Течь трубы отопления, устранено</t>
  </si>
  <si>
    <t>09.02.Заявка , забита канализация, пробивка канализации</t>
  </si>
  <si>
    <t>09.02. Осмотром выявлена течь крана, Замена крана</t>
  </si>
  <si>
    <t>16.02.Заявка кв 52,в ванной капает вода, осмотрено</t>
  </si>
  <si>
    <t>17.02.Заявка 54, кв 41. Нет горячей воды. Перепуск стояка гвс</t>
  </si>
  <si>
    <t>24.02.Заявка 87. Течь канализации, устранено</t>
  </si>
  <si>
    <t>22.02.Заявка 40. кв 38. Замена эл.ламп 10 шт</t>
  </si>
  <si>
    <t>24.02.Заявка 86. Нет света в квартире</t>
  </si>
  <si>
    <t>02.04.Заявка кв 43. Течет канализация в подвале, прочистка канализации тросом</t>
  </si>
  <si>
    <t>02.04.Заявка кв 24. Не поступает вода в смывной бачок. Прочистка отвода, неисправность не устранена</t>
  </si>
  <si>
    <t>03.04.Заявка 328 кв.24. Нет воды. Замена крана на стояке хвс, переврезка отвода д 15, шурфовка лежака. Остановкастояка хвс, осмотр и определение причины отстутствия воды</t>
  </si>
  <si>
    <t>06.04.Заявка 343 кв.29. Холодные полотенцесушители. Поэтажное обследование, разбор стояка обратки горячей воды, шамполение стояка, сборка перепуск</t>
  </si>
  <si>
    <t>06.04.Течь канализации в подвале, пробивка троссом выпусков канализации из колодцев  2шт</t>
  </si>
  <si>
    <t>12.04. Заявка кв 5. Заменить вводные краны на стояках гвс.Отключение стояки в подвале, заменены краны, обратно подключены краны.</t>
  </si>
  <si>
    <t>12.04. Засор канализации в подвале. Пробивка канализации в подвале № 1 и выпуска из колодца</t>
  </si>
  <si>
    <t>20.04. Заявка 38.Засор канализации, пробивка торосом канал. Лежаков, открытие окон для вентиляции подвала</t>
  </si>
  <si>
    <t>23.04. Заявка 55 к 23. не работает смывной бачок, нет дома</t>
  </si>
  <si>
    <t>23.04.Заявка 63. Течь воды в подвале. Пробивка канализации в подвале до колодца</t>
  </si>
  <si>
    <t>24.04.Заявка 56,59. кев 23.32. Не работает смывной бачек, нет горчей воды, хозяев нет дома</t>
  </si>
  <si>
    <t>25.04.Осмотр, пробивка канализации в подвале</t>
  </si>
  <si>
    <t>27.04.Канализация, осмотр, прочистка</t>
  </si>
  <si>
    <t>28.04.Заявка 96 кв 32. Нет горячей воды, обследовано по стояку гор.вода есть</t>
  </si>
  <si>
    <t>26.04.Заявка 81 кв6. Замена нулевой колодки, установка сжима-1шт, присоединение проводов, снятие пломб со счетчика</t>
  </si>
  <si>
    <t>26.04.Осмотр освещения в подъездах</t>
  </si>
  <si>
    <t>03.05.Заявка 117. Дезинфекция тех.подполья</t>
  </si>
  <si>
    <t>04.05.Заявка 130 кв 19. плохой напор горячей воды. Прощищена сетка крана</t>
  </si>
  <si>
    <t>05.05.Заявка 138. Течь канализации в подвале. Обследовано, проведена прочистка сети канализации и выпуска в колодец, устранена течь на сетях отопления, закрыт сбросник.</t>
  </si>
  <si>
    <t>10.05.Заявка 146 кв 23. Течь в подвале, прочистка троссом канализации</t>
  </si>
  <si>
    <t>12.05. Заявка 156. Обследование сети канализации, прочистка троссом в подвале и выпуска из дома, осмотр подвала</t>
  </si>
  <si>
    <t>14.05. Заявка 172 кв 2 Лопнула кан. На 2этаже кв 5. Осмотрено, необходимо произвести замену</t>
  </si>
  <si>
    <t xml:space="preserve">15.05. Заявка 178 кв 2-5.Замена стояка кан 3п.м., замена крана на стояке хвс кв5 </t>
  </si>
  <si>
    <t>16.05. Заявка 186. Течь воды в подвале. Пробивка троссом канализации в подвале и из дома в колодец</t>
  </si>
  <si>
    <t>18.05. кв 20. На кухне капает вода с потолка, осмотр в кв23 течь гибкой подводки в кухне</t>
  </si>
  <si>
    <t>18.05. Заявка 201, течь в подвал. Осмотр, прочистка троссом канализации 3 подъезд</t>
  </si>
  <si>
    <t>21.05. Заявка 218 кв 23 течь воды в туалете. Осмотрено, необходимо заменить стояк ка 1м</t>
  </si>
  <si>
    <t>21.05.Заявка 219 подвал. Осмотрено течь канализации (прочистка тросом)</t>
  </si>
  <si>
    <t>22.05.Заявка 227 кв 26. течь стояка канализации, замена 1 м стояка</t>
  </si>
  <si>
    <t>22.05. Замена стояка хвс кв 23,26</t>
  </si>
  <si>
    <t xml:space="preserve">23.05. Заявка 229. Течь канализации, прочистка лежаков сети и выпусков канализации </t>
  </si>
  <si>
    <t>23.05.Заявка 230 кв 23. Течь воды под раковиной на кухне, прочистка троссом стояка</t>
  </si>
  <si>
    <t>28.05. Заявка 251 осмотр канализации в подвале, прочистка троссом</t>
  </si>
  <si>
    <t>28.05. Заявка 253 . Течь горячей воды в подвале. Установлен хомут</t>
  </si>
  <si>
    <t>Овсянников, Ерлин, Денисов</t>
  </si>
  <si>
    <t>21.05.Заявка 214 кв51. Нет света в квартире. Осмотр, отгорел провод в эл.щите, устранено</t>
  </si>
  <si>
    <t>21.05.Осмотр освещения, замена 5 ламп в подъездах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</si>
</sst>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.00_);_(* \(#,##0.00\);_(* &quot;-&quot;??_);_(@_)"/>
    <numFmt numFmtId="165" formatCode="0.0"/>
  </numFmts>
  <fonts count="9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4"/>
      <name val="Arial Cyr"/>
      <family val="2"/>
    </font>
    <font>
      <b/>
      <sz val="11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color indexed="8"/>
      <name val="Arial Cyr"/>
      <family val="2"/>
    </font>
    <font>
      <sz val="12"/>
      <name val="Arial Cyr"/>
      <family val="2"/>
    </font>
    <font>
      <b/>
      <sz val="12"/>
      <name val="Times New Roman Cyr"/>
      <family val="1"/>
    </font>
    <font>
      <b/>
      <sz val="16"/>
      <name val="Times New Roman Cyr"/>
      <family val="1"/>
    </font>
    <font>
      <sz val="16"/>
      <name val="Times New Roman Cyr"/>
      <family val="1"/>
    </font>
    <font>
      <b/>
      <sz val="14"/>
      <name val="Times New Roman Cyr"/>
      <family val="1"/>
    </font>
    <font>
      <b/>
      <sz val="10"/>
      <color indexed="8"/>
      <name val="Arial Cyr"/>
      <family val="2"/>
    </font>
    <font>
      <sz val="10"/>
      <color indexed="8"/>
      <name val="Arial Cyr"/>
      <family val="2"/>
    </font>
    <font>
      <b/>
      <sz val="11"/>
      <color indexed="8"/>
      <name val="Arial Cyr"/>
      <family val="2"/>
    </font>
    <font>
      <sz val="10"/>
      <color indexed="8"/>
      <name val="Times New Roman"/>
      <family val="1"/>
    </font>
    <font>
      <sz val="11"/>
      <name val="Arial Cyr"/>
      <family val="2"/>
    </font>
    <font>
      <b/>
      <sz val="10"/>
      <color indexed="8"/>
      <name val="Times New Roman"/>
      <family val="1"/>
    </font>
    <font>
      <b/>
      <sz val="18"/>
      <name val="Times New Roman Cyr"/>
      <family val="1"/>
    </font>
    <font>
      <sz val="18"/>
      <name val="Times New Roman Cyr"/>
      <family val="1"/>
    </font>
    <font>
      <b/>
      <sz val="11"/>
      <color indexed="10"/>
      <name val="Arial Cyr"/>
      <family val="2"/>
    </font>
    <font>
      <sz val="11"/>
      <color indexed="10"/>
      <name val="Arial Cyr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sz val="11"/>
      <color indexed="10"/>
      <name val="Times New Roman Cyr"/>
      <family val="1"/>
    </font>
    <font>
      <sz val="11"/>
      <color indexed="10"/>
      <name val="Times New Roman Cyr"/>
      <family val="1"/>
    </font>
    <font>
      <sz val="11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Arial Cyr"/>
      <family val="2"/>
    </font>
    <font>
      <sz val="10"/>
      <color indexed="10"/>
      <name val="Arial Cyr"/>
      <family val="2"/>
    </font>
    <font>
      <sz val="12"/>
      <color indexed="10"/>
      <name val="Arial Cyr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60"/>
      <name val="Calibri"/>
      <family val="2"/>
    </font>
    <font>
      <sz val="11"/>
      <color indexed="60"/>
      <name val="Arial Cyr"/>
      <family val="0"/>
    </font>
    <font>
      <b/>
      <sz val="11"/>
      <color indexed="60"/>
      <name val="Arial Cyr"/>
      <family val="2"/>
    </font>
    <font>
      <b/>
      <sz val="11"/>
      <color indexed="60"/>
      <name val="Arial"/>
      <family val="2"/>
    </font>
    <font>
      <sz val="11"/>
      <color indexed="60"/>
      <name val="Arial"/>
      <family val="2"/>
    </font>
    <font>
      <b/>
      <sz val="11"/>
      <color indexed="60"/>
      <name val="Times New Roman Cyr"/>
      <family val="1"/>
    </font>
    <font>
      <sz val="11"/>
      <color indexed="60"/>
      <name val="Times New Roman Cyr"/>
      <family val="1"/>
    </font>
    <font>
      <sz val="10"/>
      <color indexed="60"/>
      <name val="Arial Cyr"/>
      <family val="2"/>
    </font>
    <font>
      <b/>
      <sz val="12"/>
      <color indexed="60"/>
      <name val="Arial Cyr"/>
      <family val="2"/>
    </font>
    <font>
      <b/>
      <sz val="11"/>
      <name val="Times New Roman Cyr"/>
      <family val="1"/>
    </font>
    <font>
      <b/>
      <sz val="11"/>
      <name val="Calibri"/>
      <family val="2"/>
    </font>
    <font>
      <sz val="11"/>
      <name val="Times New Roman Cyr"/>
      <family val="1"/>
    </font>
    <font>
      <sz val="11"/>
      <color indexed="8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 Cyr"/>
      <family val="2"/>
    </font>
    <font>
      <sz val="11"/>
      <color rgb="FFFF0000"/>
      <name val="Arial Cyr"/>
      <family val="2"/>
    </font>
    <font>
      <b/>
      <sz val="12"/>
      <color rgb="FFFF0000"/>
      <name val="Arial Cyr"/>
      <family val="2"/>
    </font>
    <font>
      <sz val="10"/>
      <color rgb="FFFF0000"/>
      <name val="Arial Cyr"/>
      <family val="2"/>
    </font>
    <font>
      <sz val="11"/>
      <color rgb="FFC00000"/>
      <name val="Calibri"/>
      <family val="2"/>
    </font>
    <font>
      <sz val="11"/>
      <color rgb="FFC00000"/>
      <name val="Arial Cyr"/>
      <family val="0"/>
    </font>
    <font>
      <b/>
      <sz val="11"/>
      <color rgb="FFC00000"/>
      <name val="Arial Cyr"/>
      <family val="2"/>
    </font>
    <font>
      <b/>
      <sz val="11"/>
      <color rgb="FFC00000"/>
      <name val="Arial"/>
      <family val="2"/>
    </font>
    <font>
      <sz val="11"/>
      <color rgb="FFC00000"/>
      <name val="Arial"/>
      <family val="2"/>
    </font>
    <font>
      <sz val="10"/>
      <color rgb="FFC00000"/>
      <name val="Arial Cyr"/>
      <family val="2"/>
    </font>
    <font>
      <sz val="11"/>
      <color theme="1"/>
      <name val="Arial Cyr"/>
      <family val="2"/>
    </font>
    <font>
      <b/>
      <sz val="11"/>
      <color theme="1"/>
      <name val="Arial Cyr"/>
      <family val="2"/>
    </font>
    <font>
      <b/>
      <sz val="11"/>
      <color rgb="FFFF0000"/>
      <name val="Times New Roman Cyr"/>
      <family val="1"/>
    </font>
    <font>
      <sz val="11"/>
      <color rgb="FFFF0000"/>
      <name val="Times New Roman Cyr"/>
      <family val="1"/>
    </font>
    <font>
      <b/>
      <sz val="11"/>
      <color rgb="FFC00000"/>
      <name val="Times New Roman Cyr"/>
      <family val="1"/>
    </font>
    <font>
      <sz val="11"/>
      <color rgb="FFC00000"/>
      <name val="Times New Roman Cyr"/>
      <family val="1"/>
    </font>
    <font>
      <b/>
      <sz val="12"/>
      <color rgb="FFC00000"/>
      <name val="Arial Cyr"/>
      <family val="2"/>
    </font>
    <font>
      <sz val="12"/>
      <color rgb="FFFF00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thin"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 style="thin"/>
      <right/>
      <top style="thin"/>
      <bottom/>
    </border>
    <border>
      <left style="thin"/>
      <right/>
      <top style="medium"/>
      <bottom/>
    </border>
    <border>
      <left style="thin"/>
      <right/>
      <top/>
      <bottom style="thin"/>
    </border>
    <border>
      <left style="thin"/>
      <right/>
      <top/>
      <bottom style="medium"/>
    </border>
    <border>
      <left/>
      <right/>
      <top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/>
      <top style="medium"/>
      <bottom/>
    </border>
    <border>
      <left style="thin"/>
      <right style="thin"/>
      <top style="medium"/>
      <bottom style="medium"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/>
      <bottom style="medium"/>
    </border>
    <border>
      <left/>
      <right style="thin"/>
      <top style="medium"/>
      <bottom style="medium"/>
    </border>
    <border>
      <left/>
      <right style="thin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1" applyNumberFormat="0" applyAlignment="0" applyProtection="0"/>
    <xf numFmtId="0" fontId="65" fillId="27" borderId="2" applyNumberFormat="0" applyAlignment="0" applyProtection="0"/>
    <xf numFmtId="0" fontId="6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28" borderId="7" applyNumberFormat="0" applyAlignment="0" applyProtection="0"/>
    <xf numFmtId="0" fontId="72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74" fillId="30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8" fillId="32" borderId="0" applyNumberFormat="0" applyBorder="0" applyAlignment="0" applyProtection="0"/>
  </cellStyleXfs>
  <cellXfs count="623">
    <xf numFmtId="0" fontId="0" fillId="0" borderId="0" xfId="0" applyFont="1" applyAlignment="1">
      <alignment/>
    </xf>
    <xf numFmtId="4" fontId="2" fillId="0" borderId="0" xfId="0" applyNumberFormat="1" applyFont="1" applyFill="1" applyAlignment="1">
      <alignment vertical="center"/>
    </xf>
    <xf numFmtId="1" fontId="5" fillId="0" borderId="0" xfId="0" applyNumberFormat="1" applyFont="1" applyFill="1" applyAlignment="1">
      <alignment horizontal="left" vertical="center"/>
    </xf>
    <xf numFmtId="1" fontId="5" fillId="33" borderId="10" xfId="0" applyNumberFormat="1" applyFont="1" applyFill="1" applyBorder="1" applyAlignment="1">
      <alignment horizontal="center" vertical="center"/>
    </xf>
    <xf numFmtId="4" fontId="4" fillId="33" borderId="11" xfId="0" applyNumberFormat="1" applyFont="1" applyFill="1" applyBorder="1" applyAlignment="1">
      <alignment vertical="center"/>
    </xf>
    <xf numFmtId="1" fontId="2" fillId="33" borderId="12" xfId="0" applyNumberFormat="1" applyFont="1" applyFill="1" applyBorder="1" applyAlignment="1">
      <alignment horizontal="center" vertical="center"/>
    </xf>
    <xf numFmtId="4" fontId="2" fillId="33" borderId="13" xfId="0" applyNumberFormat="1" applyFont="1" applyFill="1" applyBorder="1" applyAlignment="1">
      <alignment vertical="center"/>
    </xf>
    <xf numFmtId="1" fontId="2" fillId="33" borderId="14" xfId="0" applyNumberFormat="1" applyFont="1" applyFill="1" applyBorder="1" applyAlignment="1">
      <alignment horizontal="center" vertical="center"/>
    </xf>
    <xf numFmtId="4" fontId="2" fillId="33" borderId="15" xfId="0" applyNumberFormat="1" applyFont="1" applyFill="1" applyBorder="1" applyAlignment="1">
      <alignment vertical="center"/>
    </xf>
    <xf numFmtId="1" fontId="2" fillId="33" borderId="16" xfId="0" applyNumberFormat="1" applyFont="1" applyFill="1" applyBorder="1" applyAlignment="1">
      <alignment horizontal="center" vertical="center"/>
    </xf>
    <xf numFmtId="4" fontId="2" fillId="33" borderId="17" xfId="0" applyNumberFormat="1" applyFont="1" applyFill="1" applyBorder="1" applyAlignment="1">
      <alignment vertical="center"/>
    </xf>
    <xf numFmtId="164" fontId="2" fillId="33" borderId="13" xfId="58" applyNumberFormat="1" applyFont="1" applyFill="1" applyBorder="1" applyAlignment="1">
      <alignment vertical="center"/>
    </xf>
    <xf numFmtId="164" fontId="2" fillId="33" borderId="15" xfId="58" applyNumberFormat="1" applyFont="1" applyFill="1" applyBorder="1" applyAlignment="1">
      <alignment vertical="center"/>
    </xf>
    <xf numFmtId="2" fontId="2" fillId="33" borderId="16" xfId="0" applyNumberFormat="1" applyFont="1" applyFill="1" applyBorder="1" applyAlignment="1">
      <alignment horizontal="center" vertical="center"/>
    </xf>
    <xf numFmtId="164" fontId="2" fillId="33" borderId="17" xfId="58" applyNumberFormat="1" applyFont="1" applyFill="1" applyBorder="1" applyAlignment="1">
      <alignment vertical="center"/>
    </xf>
    <xf numFmtId="1" fontId="6" fillId="33" borderId="12" xfId="0" applyNumberFormat="1" applyFont="1" applyFill="1" applyBorder="1" applyAlignment="1">
      <alignment horizontal="center" vertical="center"/>
    </xf>
    <xf numFmtId="4" fontId="6" fillId="33" borderId="13" xfId="0" applyNumberFormat="1" applyFont="1" applyFill="1" applyBorder="1" applyAlignment="1">
      <alignment vertical="center"/>
    </xf>
    <xf numFmtId="0" fontId="7" fillId="33" borderId="18" xfId="0" applyFont="1" applyFill="1" applyBorder="1" applyAlignment="1">
      <alignment vertical="center"/>
    </xf>
    <xf numFmtId="0" fontId="8" fillId="33" borderId="18" xfId="0" applyFont="1" applyFill="1" applyBorder="1" applyAlignment="1">
      <alignment vertical="center"/>
    </xf>
    <xf numFmtId="0" fontId="8" fillId="33" borderId="19" xfId="0" applyFont="1" applyFill="1" applyBorder="1" applyAlignment="1">
      <alignment vertical="center"/>
    </xf>
    <xf numFmtId="0" fontId="8" fillId="33" borderId="20" xfId="0" applyFont="1" applyFill="1" applyBorder="1" applyAlignment="1">
      <alignment vertical="center"/>
    </xf>
    <xf numFmtId="0" fontId="8" fillId="33" borderId="21" xfId="0" applyFont="1" applyFill="1" applyBorder="1" applyAlignment="1">
      <alignment vertical="center"/>
    </xf>
    <xf numFmtId="1" fontId="6" fillId="33" borderId="14" xfId="0" applyNumberFormat="1" applyFont="1" applyFill="1" applyBorder="1" applyAlignment="1">
      <alignment horizontal="center" vertical="center"/>
    </xf>
    <xf numFmtId="4" fontId="6" fillId="33" borderId="15" xfId="0" applyNumberFormat="1" applyFont="1" applyFill="1" applyBorder="1" applyAlignment="1">
      <alignment vertical="center"/>
    </xf>
    <xf numFmtId="1" fontId="5" fillId="33" borderId="22" xfId="0" applyNumberFormat="1" applyFont="1" applyFill="1" applyBorder="1" applyAlignment="1">
      <alignment horizontal="center" vertical="center"/>
    </xf>
    <xf numFmtId="4" fontId="4" fillId="33" borderId="23" xfId="0" applyNumberFormat="1" applyFont="1" applyFill="1" applyBorder="1" applyAlignment="1">
      <alignment vertical="center"/>
    </xf>
    <xf numFmtId="4" fontId="4" fillId="33" borderId="23" xfId="0" applyNumberFormat="1" applyFont="1" applyFill="1" applyBorder="1" applyAlignment="1">
      <alignment horizontal="right" vertical="center"/>
    </xf>
    <xf numFmtId="1" fontId="11" fillId="33" borderId="24" xfId="0" applyNumberFormat="1" applyFont="1" applyFill="1" applyBorder="1" applyAlignment="1">
      <alignment horizontal="center" vertical="center"/>
    </xf>
    <xf numFmtId="4" fontId="14" fillId="33" borderId="25" xfId="0" applyNumberFormat="1" applyFont="1" applyFill="1" applyBorder="1" applyAlignment="1">
      <alignment horizontal="right" vertical="center"/>
    </xf>
    <xf numFmtId="4" fontId="3" fillId="33" borderId="24" xfId="0" applyNumberFormat="1" applyFont="1" applyFill="1" applyBorder="1" applyAlignment="1">
      <alignment horizontal="center" vertical="center" wrapText="1"/>
    </xf>
    <xf numFmtId="4" fontId="3" fillId="33" borderId="25" xfId="0" applyNumberFormat="1" applyFont="1" applyFill="1" applyBorder="1" applyAlignment="1">
      <alignment horizontal="center" vertical="center" wrapText="1"/>
    </xf>
    <xf numFmtId="3" fontId="4" fillId="33" borderId="12" xfId="0" applyNumberFormat="1" applyFont="1" applyFill="1" applyBorder="1" applyAlignment="1">
      <alignment horizontal="center" vertical="center" wrapText="1"/>
    </xf>
    <xf numFmtId="4" fontId="4" fillId="33" borderId="13" xfId="0" applyNumberFormat="1" applyFont="1" applyFill="1" applyBorder="1" applyAlignment="1">
      <alignment vertical="center"/>
    </xf>
    <xf numFmtId="4" fontId="6" fillId="33" borderId="14" xfId="0" applyNumberFormat="1" applyFont="1" applyFill="1" applyBorder="1" applyAlignment="1">
      <alignment horizontal="center" vertical="center"/>
    </xf>
    <xf numFmtId="3" fontId="2" fillId="33" borderId="16" xfId="0" applyNumberFormat="1" applyFont="1" applyFill="1" applyBorder="1" applyAlignment="1">
      <alignment horizontal="center" vertical="center"/>
    </xf>
    <xf numFmtId="3" fontId="17" fillId="33" borderId="14" xfId="0" applyNumberFormat="1" applyFont="1" applyFill="1" applyBorder="1" applyAlignment="1">
      <alignment horizontal="center" vertical="center" wrapText="1"/>
    </xf>
    <xf numFmtId="4" fontId="4" fillId="33" borderId="15" xfId="0" applyNumberFormat="1" applyFont="1" applyFill="1" applyBorder="1" applyAlignment="1">
      <alignment vertical="center"/>
    </xf>
    <xf numFmtId="4" fontId="2" fillId="33" borderId="16" xfId="0" applyNumberFormat="1" applyFont="1" applyFill="1" applyBorder="1" applyAlignment="1">
      <alignment horizontal="center" vertical="center"/>
    </xf>
    <xf numFmtId="4" fontId="2" fillId="33" borderId="14" xfId="0" applyNumberFormat="1" applyFont="1" applyFill="1" applyBorder="1" applyAlignment="1">
      <alignment horizontal="center" vertical="center"/>
    </xf>
    <xf numFmtId="4" fontId="17" fillId="33" borderId="14" xfId="0" applyNumberFormat="1" applyFont="1" applyFill="1" applyBorder="1" applyAlignment="1">
      <alignment horizontal="center" vertical="center" wrapText="1"/>
    </xf>
    <xf numFmtId="3" fontId="4" fillId="33" borderId="14" xfId="0" applyNumberFormat="1" applyFont="1" applyFill="1" applyBorder="1" applyAlignment="1">
      <alignment horizontal="center" vertical="center" wrapText="1"/>
    </xf>
    <xf numFmtId="4" fontId="2" fillId="33" borderId="14" xfId="0" applyNumberFormat="1" applyFont="1" applyFill="1" applyBorder="1" applyAlignment="1">
      <alignment horizontal="center" vertical="center" wrapText="1"/>
    </xf>
    <xf numFmtId="4" fontId="2" fillId="33" borderId="16" xfId="0" applyNumberFormat="1" applyFont="1" applyFill="1" applyBorder="1" applyAlignment="1">
      <alignment horizontal="center" vertical="center" wrapText="1"/>
    </xf>
    <xf numFmtId="3" fontId="20" fillId="33" borderId="24" xfId="0" applyNumberFormat="1" applyFont="1" applyFill="1" applyBorder="1" applyAlignment="1">
      <alignment horizontal="center" vertical="center" wrapText="1"/>
    </xf>
    <xf numFmtId="4" fontId="14" fillId="33" borderId="11" xfId="0" applyNumberFormat="1" applyFont="1" applyFill="1" applyBorder="1" applyAlignment="1">
      <alignment vertical="center"/>
    </xf>
    <xf numFmtId="3" fontId="17" fillId="33" borderId="12" xfId="0" applyNumberFormat="1" applyFont="1" applyFill="1" applyBorder="1" applyAlignment="1">
      <alignment horizontal="center" vertical="center" wrapText="1"/>
    </xf>
    <xf numFmtId="4" fontId="16" fillId="33" borderId="16" xfId="0" applyNumberFormat="1" applyFont="1" applyFill="1" applyBorder="1" applyAlignment="1">
      <alignment horizontal="center" vertical="center" wrapText="1"/>
    </xf>
    <xf numFmtId="3" fontId="4" fillId="33" borderId="16" xfId="0" applyNumberFormat="1" applyFont="1" applyFill="1" applyBorder="1" applyAlignment="1">
      <alignment horizontal="center" vertical="center"/>
    </xf>
    <xf numFmtId="4" fontId="4" fillId="33" borderId="17" xfId="0" applyNumberFormat="1" applyFont="1" applyFill="1" applyBorder="1" applyAlignment="1">
      <alignment vertical="center"/>
    </xf>
    <xf numFmtId="3" fontId="20" fillId="33" borderId="26" xfId="0" applyNumberFormat="1" applyFont="1" applyFill="1" applyBorder="1" applyAlignment="1">
      <alignment horizontal="center" vertical="center" wrapText="1"/>
    </xf>
    <xf numFmtId="4" fontId="14" fillId="33" borderId="27" xfId="0" applyNumberFormat="1" applyFont="1" applyFill="1" applyBorder="1" applyAlignment="1">
      <alignment vertical="center"/>
    </xf>
    <xf numFmtId="1" fontId="5" fillId="33" borderId="24" xfId="0" applyNumberFormat="1" applyFont="1" applyFill="1" applyBorder="1" applyAlignment="1">
      <alignment horizontal="center" vertical="center"/>
    </xf>
    <xf numFmtId="1" fontId="5" fillId="33" borderId="28" xfId="0" applyNumberFormat="1" applyFont="1" applyFill="1" applyBorder="1" applyAlignment="1">
      <alignment horizontal="center" vertical="center"/>
    </xf>
    <xf numFmtId="4" fontId="12" fillId="33" borderId="29" xfId="0" applyNumberFormat="1" applyFont="1" applyFill="1" applyBorder="1" applyAlignment="1">
      <alignment horizontal="right" vertical="center"/>
    </xf>
    <xf numFmtId="4" fontId="3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1" fontId="5" fillId="33" borderId="30" xfId="0" applyNumberFormat="1" applyFont="1" applyFill="1" applyBorder="1" applyAlignment="1">
      <alignment horizontal="center" vertical="center"/>
    </xf>
    <xf numFmtId="4" fontId="4" fillId="33" borderId="31" xfId="0" applyNumberFormat="1" applyFont="1" applyFill="1" applyBorder="1" applyAlignment="1">
      <alignment vertical="center"/>
    </xf>
    <xf numFmtId="4" fontId="3" fillId="0" borderId="32" xfId="0" applyNumberFormat="1" applyFont="1" applyBorder="1" applyAlignment="1">
      <alignment horizontal="center" vertical="center"/>
    </xf>
    <xf numFmtId="4" fontId="4" fillId="0" borderId="19" xfId="0" applyNumberFormat="1" applyFont="1" applyBorder="1" applyAlignment="1">
      <alignment horizontal="center" vertical="center" wrapText="1"/>
    </xf>
    <xf numFmtId="0" fontId="79" fillId="33" borderId="18" xfId="0" applyFont="1" applyFill="1" applyBorder="1" applyAlignment="1">
      <alignment vertical="center"/>
    </xf>
    <xf numFmtId="0" fontId="79" fillId="33" borderId="33" xfId="0" applyFont="1" applyFill="1" applyBorder="1" applyAlignment="1">
      <alignment vertical="center"/>
    </xf>
    <xf numFmtId="0" fontId="80" fillId="33" borderId="18" xfId="0" applyFont="1" applyFill="1" applyBorder="1" applyAlignment="1">
      <alignment vertical="center"/>
    </xf>
    <xf numFmtId="0" fontId="80" fillId="33" borderId="33" xfId="0" applyFont="1" applyFill="1" applyBorder="1" applyAlignment="1">
      <alignment vertical="center"/>
    </xf>
    <xf numFmtId="0" fontId="80" fillId="33" borderId="19" xfId="0" applyFont="1" applyFill="1" applyBorder="1" applyAlignment="1">
      <alignment vertical="center"/>
    </xf>
    <xf numFmtId="0" fontId="80" fillId="33" borderId="34" xfId="0" applyFont="1" applyFill="1" applyBorder="1" applyAlignment="1">
      <alignment vertical="center"/>
    </xf>
    <xf numFmtId="0" fontId="80" fillId="33" borderId="20" xfId="0" applyFont="1" applyFill="1" applyBorder="1" applyAlignment="1">
      <alignment vertical="center"/>
    </xf>
    <xf numFmtId="0" fontId="80" fillId="33" borderId="0" xfId="0" applyFont="1" applyFill="1" applyBorder="1" applyAlignment="1">
      <alignment vertical="center"/>
    </xf>
    <xf numFmtId="0" fontId="80" fillId="33" borderId="21" xfId="0" applyFont="1" applyFill="1" applyBorder="1" applyAlignment="1">
      <alignment vertical="center"/>
    </xf>
    <xf numFmtId="0" fontId="80" fillId="33" borderId="35" xfId="0" applyFont="1" applyFill="1" applyBorder="1" applyAlignment="1">
      <alignment vertical="center"/>
    </xf>
    <xf numFmtId="4" fontId="81" fillId="33" borderId="0" xfId="0" applyNumberFormat="1" applyFont="1" applyFill="1" applyBorder="1" applyAlignment="1">
      <alignment vertical="center" wrapText="1"/>
    </xf>
    <xf numFmtId="4" fontId="82" fillId="33" borderId="0" xfId="0" applyNumberFormat="1" applyFont="1" applyFill="1" applyBorder="1" applyAlignment="1">
      <alignment vertical="center" wrapText="1"/>
    </xf>
    <xf numFmtId="0" fontId="29" fillId="0" borderId="36" xfId="0" applyFont="1" applyBorder="1" applyAlignment="1">
      <alignment/>
    </xf>
    <xf numFmtId="0" fontId="29" fillId="0" borderId="0" xfId="0" applyFont="1" applyAlignment="1">
      <alignment/>
    </xf>
    <xf numFmtId="4" fontId="83" fillId="0" borderId="0" xfId="0" applyNumberFormat="1" applyFont="1" applyBorder="1" applyAlignment="1">
      <alignment horizontal="center" vertical="center"/>
    </xf>
    <xf numFmtId="0" fontId="77" fillId="0" borderId="0" xfId="0" applyFont="1" applyBorder="1" applyAlignment="1">
      <alignment/>
    </xf>
    <xf numFmtId="0" fontId="77" fillId="0" borderId="0" xfId="0" applyFont="1" applyAlignment="1">
      <alignment/>
    </xf>
    <xf numFmtId="0" fontId="77" fillId="0" borderId="36" xfId="0" applyFont="1" applyBorder="1" applyAlignment="1">
      <alignment/>
    </xf>
    <xf numFmtId="0" fontId="77" fillId="0" borderId="36" xfId="0" applyFont="1" applyBorder="1" applyAlignment="1">
      <alignment vertical="center" wrapText="1"/>
    </xf>
    <xf numFmtId="4" fontId="84" fillId="0" borderId="0" xfId="0" applyNumberFormat="1" applyFont="1" applyFill="1" applyAlignment="1">
      <alignment vertical="center"/>
    </xf>
    <xf numFmtId="0" fontId="77" fillId="0" borderId="36" xfId="0" applyFont="1" applyBorder="1" applyAlignment="1">
      <alignment horizontal="right" vertical="center" wrapText="1"/>
    </xf>
    <xf numFmtId="0" fontId="77" fillId="0" borderId="37" xfId="0" applyFont="1" applyBorder="1" applyAlignment="1">
      <alignment/>
    </xf>
    <xf numFmtId="0" fontId="77" fillId="0" borderId="36" xfId="0" applyFont="1" applyBorder="1" applyAlignment="1">
      <alignment wrapText="1"/>
    </xf>
    <xf numFmtId="0" fontId="77" fillId="0" borderId="36" xfId="0" applyFont="1" applyBorder="1" applyAlignment="1">
      <alignment horizontal="right" wrapText="1"/>
    </xf>
    <xf numFmtId="0" fontId="77" fillId="0" borderId="38" xfId="0" applyFont="1" applyBorder="1" applyAlignment="1">
      <alignment/>
    </xf>
    <xf numFmtId="0" fontId="29" fillId="0" borderId="36" xfId="0" applyFont="1" applyBorder="1" applyAlignment="1">
      <alignment horizontal="center" vertical="center" wrapText="1"/>
    </xf>
    <xf numFmtId="0" fontId="29" fillId="0" borderId="36" xfId="0" applyFont="1" applyBorder="1" applyAlignment="1">
      <alignment horizontal="center" vertical="center"/>
    </xf>
    <xf numFmtId="0" fontId="34" fillId="33" borderId="18" xfId="0" applyFont="1" applyFill="1" applyBorder="1" applyAlignment="1">
      <alignment vertical="center"/>
    </xf>
    <xf numFmtId="0" fontId="34" fillId="33" borderId="33" xfId="0" applyFont="1" applyFill="1" applyBorder="1" applyAlignment="1">
      <alignment vertical="center"/>
    </xf>
    <xf numFmtId="0" fontId="29" fillId="0" borderId="0" xfId="0" applyFont="1" applyBorder="1" applyAlignment="1">
      <alignment/>
    </xf>
    <xf numFmtId="4" fontId="19" fillId="33" borderId="36" xfId="0" applyNumberFormat="1" applyFont="1" applyFill="1" applyBorder="1" applyAlignment="1">
      <alignment vertical="center" wrapText="1"/>
    </xf>
    <xf numFmtId="4" fontId="4" fillId="33" borderId="0" xfId="0" applyNumberFormat="1" applyFont="1" applyFill="1" applyBorder="1" applyAlignment="1">
      <alignment vertical="center" wrapText="1"/>
    </xf>
    <xf numFmtId="0" fontId="34" fillId="33" borderId="36" xfId="0" applyFont="1" applyFill="1" applyBorder="1" applyAlignment="1">
      <alignment vertical="center" wrapText="1"/>
    </xf>
    <xf numFmtId="0" fontId="35" fillId="33" borderId="33" xfId="0" applyFont="1" applyFill="1" applyBorder="1" applyAlignment="1">
      <alignment vertical="center"/>
    </xf>
    <xf numFmtId="0" fontId="0" fillId="0" borderId="0" xfId="0" applyFont="1" applyAlignment="1">
      <alignment/>
    </xf>
    <xf numFmtId="4" fontId="82" fillId="33" borderId="36" xfId="0" applyNumberFormat="1" applyFont="1" applyFill="1" applyBorder="1" applyAlignment="1">
      <alignment vertical="center" wrapText="1"/>
    </xf>
    <xf numFmtId="4" fontId="5" fillId="0" borderId="0" xfId="0" applyNumberFormat="1" applyFont="1" applyBorder="1" applyAlignment="1">
      <alignment horizontal="center" vertical="center"/>
    </xf>
    <xf numFmtId="4" fontId="19" fillId="33" borderId="36" xfId="0" applyNumberFormat="1" applyFont="1" applyFill="1" applyBorder="1" applyAlignment="1">
      <alignment vertical="center" wrapText="1"/>
    </xf>
    <xf numFmtId="4" fontId="82" fillId="33" borderId="36" xfId="0" applyNumberFormat="1" applyFont="1" applyFill="1" applyBorder="1" applyAlignment="1">
      <alignment vertical="center" wrapText="1"/>
    </xf>
    <xf numFmtId="4" fontId="82" fillId="33" borderId="39" xfId="0" applyNumberFormat="1" applyFont="1" applyFill="1" applyBorder="1" applyAlignment="1">
      <alignment vertical="center" wrapText="1"/>
    </xf>
    <xf numFmtId="0" fontId="80" fillId="33" borderId="18" xfId="0" applyFont="1" applyFill="1" applyBorder="1" applyAlignment="1">
      <alignment vertical="center" wrapText="1"/>
    </xf>
    <xf numFmtId="4" fontId="82" fillId="33" borderId="40" xfId="0" applyNumberFormat="1" applyFont="1" applyFill="1" applyBorder="1" applyAlignment="1">
      <alignment vertical="center" wrapText="1"/>
    </xf>
    <xf numFmtId="0" fontId="77" fillId="0" borderId="40" xfId="0" applyFont="1" applyFill="1" applyBorder="1" applyAlignment="1">
      <alignment/>
    </xf>
    <xf numFmtId="0" fontId="80" fillId="33" borderId="19" xfId="0" applyFont="1" applyFill="1" applyBorder="1" applyAlignment="1">
      <alignment vertical="center" wrapText="1"/>
    </xf>
    <xf numFmtId="0" fontId="80" fillId="33" borderId="20" xfId="0" applyFont="1" applyFill="1" applyBorder="1" applyAlignment="1">
      <alignment vertical="center" wrapText="1"/>
    </xf>
    <xf numFmtId="0" fontId="29" fillId="0" borderId="36" xfId="0" applyFont="1" applyBorder="1" applyAlignment="1">
      <alignment wrapText="1"/>
    </xf>
    <xf numFmtId="4" fontId="5" fillId="0" borderId="0" xfId="0" applyNumberFormat="1" applyFont="1" applyBorder="1" applyAlignment="1">
      <alignment horizontal="center" vertical="center"/>
    </xf>
    <xf numFmtId="4" fontId="5" fillId="0" borderId="0" xfId="0" applyNumberFormat="1" applyFont="1" applyBorder="1" applyAlignment="1">
      <alignment horizontal="center" vertical="center"/>
    </xf>
    <xf numFmtId="0" fontId="34" fillId="33" borderId="18" xfId="0" applyFont="1" applyFill="1" applyBorder="1" applyAlignment="1">
      <alignment vertical="center" wrapText="1"/>
    </xf>
    <xf numFmtId="0" fontId="85" fillId="0" borderId="36" xfId="0" applyFont="1" applyBorder="1" applyAlignment="1">
      <alignment/>
    </xf>
    <xf numFmtId="0" fontId="29" fillId="0" borderId="36" xfId="0" applyFont="1" applyFill="1" applyBorder="1" applyAlignment="1">
      <alignment/>
    </xf>
    <xf numFmtId="165" fontId="29" fillId="0" borderId="36" xfId="0" applyNumberFormat="1" applyFont="1" applyBorder="1" applyAlignment="1">
      <alignment/>
    </xf>
    <xf numFmtId="4" fontId="5" fillId="0" borderId="0" xfId="0" applyNumberFormat="1" applyFont="1" applyBorder="1" applyAlignment="1">
      <alignment horizontal="center" vertical="center"/>
    </xf>
    <xf numFmtId="4" fontId="19" fillId="33" borderId="36" xfId="0" applyNumberFormat="1" applyFont="1" applyFill="1" applyBorder="1" applyAlignment="1">
      <alignment vertical="center" wrapText="1"/>
    </xf>
    <xf numFmtId="0" fontId="29" fillId="0" borderId="34" xfId="0" applyFont="1" applyBorder="1" applyAlignment="1">
      <alignment/>
    </xf>
    <xf numFmtId="0" fontId="29" fillId="0" borderId="19" xfId="0" applyFont="1" applyBorder="1" applyAlignment="1">
      <alignment/>
    </xf>
    <xf numFmtId="4" fontId="19" fillId="33" borderId="0" xfId="0" applyNumberFormat="1" applyFont="1" applyFill="1" applyBorder="1" applyAlignment="1">
      <alignment vertical="center" wrapText="1"/>
    </xf>
    <xf numFmtId="0" fontId="19" fillId="33" borderId="0" xfId="0" applyFont="1" applyFill="1" applyBorder="1" applyAlignment="1">
      <alignment vertical="center"/>
    </xf>
    <xf numFmtId="4" fontId="5" fillId="0" borderId="0" xfId="0" applyNumberFormat="1" applyFont="1" applyBorder="1" applyAlignment="1">
      <alignment horizontal="center" vertical="center"/>
    </xf>
    <xf numFmtId="4" fontId="19" fillId="33" borderId="36" xfId="0" applyNumberFormat="1" applyFont="1" applyFill="1" applyBorder="1" applyAlignment="1">
      <alignment vertical="center" wrapText="1"/>
    </xf>
    <xf numFmtId="4" fontId="82" fillId="33" borderId="36" xfId="0" applyNumberFormat="1" applyFont="1" applyFill="1" applyBorder="1" applyAlignment="1">
      <alignment vertical="center" wrapText="1"/>
    </xf>
    <xf numFmtId="4" fontId="81" fillId="33" borderId="41" xfId="0" applyNumberFormat="1" applyFont="1" applyFill="1" applyBorder="1" applyAlignment="1">
      <alignment horizontal="left" vertical="center" wrapText="1"/>
    </xf>
    <xf numFmtId="4" fontId="81" fillId="33" borderId="42" xfId="0" applyNumberFormat="1" applyFont="1" applyFill="1" applyBorder="1" applyAlignment="1">
      <alignment horizontal="left" vertical="center" wrapText="1"/>
    </xf>
    <xf numFmtId="4" fontId="81" fillId="33" borderId="36" xfId="0" applyNumberFormat="1" applyFont="1" applyFill="1" applyBorder="1" applyAlignment="1">
      <alignment vertical="center" wrapText="1"/>
    </xf>
    <xf numFmtId="0" fontId="82" fillId="33" borderId="0" xfId="0" applyFont="1" applyFill="1" applyBorder="1" applyAlignment="1">
      <alignment vertical="center"/>
    </xf>
    <xf numFmtId="4" fontId="19" fillId="33" borderId="36" xfId="0" applyNumberFormat="1" applyFont="1" applyFill="1" applyBorder="1" applyAlignment="1">
      <alignment vertical="center" wrapText="1"/>
    </xf>
    <xf numFmtId="4" fontId="19" fillId="33" borderId="34" xfId="0" applyNumberFormat="1" applyFont="1" applyFill="1" applyBorder="1" applyAlignment="1">
      <alignment vertical="center" wrapText="1"/>
    </xf>
    <xf numFmtId="4" fontId="82" fillId="33" borderId="43" xfId="0" applyNumberFormat="1" applyFont="1" applyFill="1" applyBorder="1" applyAlignment="1">
      <alignment vertical="center" wrapText="1"/>
    </xf>
    <xf numFmtId="4" fontId="82" fillId="33" borderId="33" xfId="0" applyNumberFormat="1" applyFont="1" applyFill="1" applyBorder="1" applyAlignment="1">
      <alignment vertical="center" wrapText="1"/>
    </xf>
    <xf numFmtId="4" fontId="82" fillId="33" borderId="36" xfId="0" applyNumberFormat="1" applyFont="1" applyFill="1" applyBorder="1" applyAlignment="1">
      <alignment vertical="center" wrapText="1"/>
    </xf>
    <xf numFmtId="4" fontId="82" fillId="33" borderId="43" xfId="0" applyNumberFormat="1" applyFont="1" applyFill="1" applyBorder="1" applyAlignment="1">
      <alignment horizontal="left" vertical="center" wrapText="1"/>
    </xf>
    <xf numFmtId="4" fontId="82" fillId="33" borderId="33" xfId="0" applyNumberFormat="1" applyFont="1" applyFill="1" applyBorder="1" applyAlignment="1">
      <alignment horizontal="left" vertical="center" wrapText="1"/>
    </xf>
    <xf numFmtId="4" fontId="82" fillId="33" borderId="34" xfId="0" applyNumberFormat="1" applyFont="1" applyFill="1" applyBorder="1" applyAlignment="1">
      <alignment vertical="center" wrapText="1"/>
    </xf>
    <xf numFmtId="4" fontId="82" fillId="33" borderId="39" xfId="0" applyNumberFormat="1" applyFont="1" applyFill="1" applyBorder="1" applyAlignment="1">
      <alignment vertical="center" wrapText="1"/>
    </xf>
    <xf numFmtId="4" fontId="86" fillId="33" borderId="36" xfId="0" applyNumberFormat="1" applyFont="1" applyFill="1" applyBorder="1" applyAlignment="1">
      <alignment vertical="center" wrapText="1"/>
    </xf>
    <xf numFmtId="4" fontId="87" fillId="33" borderId="0" xfId="0" applyNumberFormat="1" applyFont="1" applyFill="1" applyBorder="1" applyAlignment="1">
      <alignment vertical="center" wrapText="1"/>
    </xf>
    <xf numFmtId="0" fontId="85" fillId="0" borderId="0" xfId="0" applyFont="1" applyAlignment="1">
      <alignment/>
    </xf>
    <xf numFmtId="0" fontId="88" fillId="33" borderId="18" xfId="0" applyFont="1" applyFill="1" applyBorder="1" applyAlignment="1">
      <alignment vertical="center"/>
    </xf>
    <xf numFmtId="0" fontId="88" fillId="33" borderId="33" xfId="0" applyFont="1" applyFill="1" applyBorder="1" applyAlignment="1">
      <alignment vertical="center"/>
    </xf>
    <xf numFmtId="0" fontId="89" fillId="33" borderId="18" xfId="0" applyFont="1" applyFill="1" applyBorder="1" applyAlignment="1">
      <alignment vertical="center" wrapText="1"/>
    </xf>
    <xf numFmtId="0" fontId="89" fillId="33" borderId="33" xfId="0" applyFont="1" applyFill="1" applyBorder="1" applyAlignment="1">
      <alignment vertical="center"/>
    </xf>
    <xf numFmtId="0" fontId="85" fillId="0" borderId="36" xfId="0" applyFont="1" applyBorder="1" applyAlignment="1">
      <alignment wrapText="1"/>
    </xf>
    <xf numFmtId="0" fontId="89" fillId="33" borderId="18" xfId="0" applyFont="1" applyFill="1" applyBorder="1" applyAlignment="1">
      <alignment vertical="center"/>
    </xf>
    <xf numFmtId="0" fontId="89" fillId="33" borderId="19" xfId="0" applyFont="1" applyFill="1" applyBorder="1" applyAlignment="1">
      <alignment vertical="center"/>
    </xf>
    <xf numFmtId="0" fontId="89" fillId="33" borderId="34" xfId="0" applyFont="1" applyFill="1" applyBorder="1" applyAlignment="1">
      <alignment vertical="center"/>
    </xf>
    <xf numFmtId="0" fontId="89" fillId="33" borderId="20" xfId="0" applyFont="1" applyFill="1" applyBorder="1" applyAlignment="1">
      <alignment vertical="center"/>
    </xf>
    <xf numFmtId="0" fontId="89" fillId="33" borderId="0" xfId="0" applyFont="1" applyFill="1" applyBorder="1" applyAlignment="1">
      <alignment vertical="center"/>
    </xf>
    <xf numFmtId="0" fontId="89" fillId="33" borderId="21" xfId="0" applyFont="1" applyFill="1" applyBorder="1" applyAlignment="1">
      <alignment vertical="center"/>
    </xf>
    <xf numFmtId="0" fontId="89" fillId="33" borderId="35" xfId="0" applyFont="1" applyFill="1" applyBorder="1" applyAlignment="1">
      <alignment vertical="center"/>
    </xf>
    <xf numFmtId="4" fontId="86" fillId="33" borderId="34" xfId="0" applyNumberFormat="1" applyFont="1" applyFill="1" applyBorder="1" applyAlignment="1">
      <alignment vertical="center" wrapText="1"/>
    </xf>
    <xf numFmtId="4" fontId="86" fillId="33" borderId="32" xfId="0" applyNumberFormat="1" applyFont="1" applyFill="1" applyBorder="1" applyAlignment="1">
      <alignment vertical="center" wrapText="1"/>
    </xf>
    <xf numFmtId="4" fontId="86" fillId="33" borderId="0" xfId="0" applyNumberFormat="1" applyFont="1" applyFill="1" applyBorder="1" applyAlignment="1">
      <alignment vertical="center" wrapText="1"/>
    </xf>
    <xf numFmtId="4" fontId="86" fillId="33" borderId="36" xfId="0" applyNumberFormat="1" applyFont="1" applyFill="1" applyBorder="1" applyAlignment="1">
      <alignment vertical="center" wrapText="1"/>
    </xf>
    <xf numFmtId="0" fontId="85" fillId="0" borderId="40" xfId="0" applyFont="1" applyFill="1" applyBorder="1" applyAlignment="1">
      <alignment/>
    </xf>
    <xf numFmtId="0" fontId="85" fillId="0" borderId="36" xfId="0" applyFont="1" applyBorder="1" applyAlignment="1">
      <alignment vertical="center" wrapText="1"/>
    </xf>
    <xf numFmtId="0" fontId="85" fillId="0" borderId="36" xfId="0" applyFont="1" applyBorder="1" applyAlignment="1">
      <alignment horizontal="right" vertical="center" wrapText="1"/>
    </xf>
    <xf numFmtId="4" fontId="86" fillId="33" borderId="39" xfId="0" applyNumberFormat="1" applyFont="1" applyFill="1" applyBorder="1" applyAlignment="1">
      <alignment vertical="center" wrapText="1"/>
    </xf>
    <xf numFmtId="4" fontId="90" fillId="0" borderId="0" xfId="0" applyNumberFormat="1" applyFont="1" applyFill="1" applyAlignment="1">
      <alignment vertical="center"/>
    </xf>
    <xf numFmtId="4" fontId="19" fillId="33" borderId="36" xfId="0" applyNumberFormat="1" applyFont="1" applyFill="1" applyBorder="1" applyAlignment="1">
      <alignment vertical="center" wrapText="1"/>
    </xf>
    <xf numFmtId="4" fontId="19" fillId="33" borderId="34" xfId="0" applyNumberFormat="1" applyFont="1" applyFill="1" applyBorder="1" applyAlignment="1">
      <alignment vertical="center" wrapText="1"/>
    </xf>
    <xf numFmtId="0" fontId="85" fillId="0" borderId="38" xfId="0" applyFont="1" applyBorder="1" applyAlignment="1">
      <alignment/>
    </xf>
    <xf numFmtId="4" fontId="19" fillId="33" borderId="37" xfId="0" applyNumberFormat="1" applyFont="1" applyFill="1" applyBorder="1" applyAlignment="1">
      <alignment vertical="center" wrapText="1"/>
    </xf>
    <xf numFmtId="0" fontId="29" fillId="0" borderId="37" xfId="0" applyFont="1" applyBorder="1" applyAlignment="1">
      <alignment/>
    </xf>
    <xf numFmtId="0" fontId="89" fillId="33" borderId="19" xfId="0" applyFont="1" applyFill="1" applyBorder="1" applyAlignment="1">
      <alignment vertical="center" wrapText="1"/>
    </xf>
    <xf numFmtId="4" fontId="82" fillId="33" borderId="37" xfId="0" applyNumberFormat="1" applyFont="1" applyFill="1" applyBorder="1" applyAlignment="1">
      <alignment vertical="center" wrapText="1"/>
    </xf>
    <xf numFmtId="4" fontId="5" fillId="0" borderId="0" xfId="0" applyNumberFormat="1" applyFont="1" applyBorder="1" applyAlignment="1">
      <alignment horizontal="center" vertical="center"/>
    </xf>
    <xf numFmtId="4" fontId="81" fillId="33" borderId="39" xfId="0" applyNumberFormat="1" applyFont="1" applyFill="1" applyBorder="1" applyAlignment="1">
      <alignment vertical="center" wrapText="1"/>
    </xf>
    <xf numFmtId="4" fontId="19" fillId="33" borderId="36" xfId="0" applyNumberFormat="1" applyFont="1" applyFill="1" applyBorder="1" applyAlignment="1">
      <alignment vertical="center" wrapText="1"/>
    </xf>
    <xf numFmtId="4" fontId="19" fillId="33" borderId="32" xfId="0" applyNumberFormat="1" applyFont="1" applyFill="1" applyBorder="1" applyAlignment="1">
      <alignment vertical="center" wrapText="1"/>
    </xf>
    <xf numFmtId="4" fontId="19" fillId="33" borderId="34" xfId="0" applyNumberFormat="1" applyFont="1" applyFill="1" applyBorder="1" applyAlignment="1">
      <alignment vertical="center" wrapText="1"/>
    </xf>
    <xf numFmtId="4" fontId="19" fillId="33" borderId="43" xfId="0" applyNumberFormat="1" applyFont="1" applyFill="1" applyBorder="1" applyAlignment="1">
      <alignment vertical="center" wrapText="1"/>
    </xf>
    <xf numFmtId="4" fontId="19" fillId="33" borderId="33" xfId="0" applyNumberFormat="1" applyFont="1" applyFill="1" applyBorder="1" applyAlignment="1">
      <alignment vertical="center" wrapText="1"/>
    </xf>
    <xf numFmtId="4" fontId="19" fillId="33" borderId="38" xfId="0" applyNumberFormat="1" applyFont="1" applyFill="1" applyBorder="1" applyAlignment="1">
      <alignment vertical="center" wrapText="1"/>
    </xf>
    <xf numFmtId="4" fontId="4" fillId="33" borderId="32" xfId="0" applyNumberFormat="1" applyFont="1" applyFill="1" applyBorder="1" applyAlignment="1">
      <alignment vertical="center" wrapText="1"/>
    </xf>
    <xf numFmtId="0" fontId="29" fillId="0" borderId="36" xfId="0" applyFont="1" applyBorder="1" applyAlignment="1">
      <alignment horizontal="right" wrapText="1"/>
    </xf>
    <xf numFmtId="4" fontId="19" fillId="33" borderId="36" xfId="0" applyNumberFormat="1" applyFont="1" applyFill="1" applyBorder="1" applyAlignment="1">
      <alignment vertical="center" wrapText="1"/>
    </xf>
    <xf numFmtId="4" fontId="19" fillId="33" borderId="32" xfId="0" applyNumberFormat="1" applyFont="1" applyFill="1" applyBorder="1" applyAlignment="1">
      <alignment vertical="center" wrapText="1"/>
    </xf>
    <xf numFmtId="4" fontId="86" fillId="33" borderId="33" xfId="0" applyNumberFormat="1" applyFont="1" applyFill="1" applyBorder="1" applyAlignment="1">
      <alignment horizontal="left" vertical="center" wrapText="1"/>
    </xf>
    <xf numFmtId="4" fontId="19" fillId="33" borderId="34" xfId="0" applyNumberFormat="1" applyFont="1" applyFill="1" applyBorder="1" applyAlignment="1">
      <alignment vertical="center" wrapText="1"/>
    </xf>
    <xf numFmtId="4" fontId="83" fillId="0" borderId="0" xfId="0" applyNumberFormat="1" applyFont="1" applyBorder="1" applyAlignment="1">
      <alignment horizontal="center" vertical="center"/>
    </xf>
    <xf numFmtId="4" fontId="4" fillId="33" borderId="36" xfId="0" applyNumberFormat="1" applyFont="1" applyFill="1" applyBorder="1" applyAlignment="1">
      <alignment vertical="center" wrapText="1"/>
    </xf>
    <xf numFmtId="0" fontId="0" fillId="0" borderId="36" xfId="0" applyBorder="1" applyAlignment="1">
      <alignment/>
    </xf>
    <xf numFmtId="0" fontId="34" fillId="33" borderId="36" xfId="0" applyFont="1" applyFill="1" applyBorder="1" applyAlignment="1">
      <alignment vertical="center"/>
    </xf>
    <xf numFmtId="0" fontId="29" fillId="0" borderId="38" xfId="0" applyFont="1" applyBorder="1" applyAlignment="1">
      <alignment/>
    </xf>
    <xf numFmtId="0" fontId="29" fillId="0" borderId="39" xfId="0" applyFont="1" applyBorder="1" applyAlignment="1">
      <alignment/>
    </xf>
    <xf numFmtId="4" fontId="4" fillId="33" borderId="39" xfId="0" applyNumberFormat="1" applyFont="1" applyFill="1" applyBorder="1" applyAlignment="1">
      <alignment vertical="center" wrapText="1"/>
    </xf>
    <xf numFmtId="4" fontId="19" fillId="33" borderId="39" xfId="0" applyNumberFormat="1" applyFont="1" applyFill="1" applyBorder="1" applyAlignment="1">
      <alignment vertical="center" wrapText="1"/>
    </xf>
    <xf numFmtId="0" fontId="29" fillId="0" borderId="36" xfId="0" applyFont="1" applyBorder="1" applyAlignment="1">
      <alignment horizontal="right"/>
    </xf>
    <xf numFmtId="0" fontId="29" fillId="0" borderId="36" xfId="0" applyFont="1" applyBorder="1" applyAlignment="1">
      <alignment horizontal="left" vertical="center" wrapText="1"/>
    </xf>
    <xf numFmtId="4" fontId="4" fillId="33" borderId="41" xfId="0" applyNumberFormat="1" applyFont="1" applyFill="1" applyBorder="1" applyAlignment="1">
      <alignment horizontal="left" vertical="center" wrapText="1"/>
    </xf>
    <xf numFmtId="4" fontId="4" fillId="33" borderId="42" xfId="0" applyNumberFormat="1" applyFont="1" applyFill="1" applyBorder="1" applyAlignment="1">
      <alignment horizontal="left" vertical="center" wrapText="1"/>
    </xf>
    <xf numFmtId="4" fontId="19" fillId="33" borderId="44" xfId="0" applyNumberFormat="1" applyFont="1" applyFill="1" applyBorder="1" applyAlignment="1">
      <alignment vertical="center" wrapText="1"/>
    </xf>
    <xf numFmtId="4" fontId="19" fillId="33" borderId="42" xfId="0" applyNumberFormat="1" applyFont="1" applyFill="1" applyBorder="1" applyAlignment="1">
      <alignment vertical="center" wrapText="1"/>
    </xf>
    <xf numFmtId="4" fontId="19" fillId="33" borderId="36" xfId="0" applyNumberFormat="1" applyFont="1" applyFill="1" applyBorder="1" applyAlignment="1">
      <alignment horizontal="left" vertical="center" wrapText="1"/>
    </xf>
    <xf numFmtId="4" fontId="4" fillId="33" borderId="39" xfId="0" applyNumberFormat="1" applyFont="1" applyFill="1" applyBorder="1" applyAlignment="1">
      <alignment horizontal="left" vertical="center" wrapText="1"/>
    </xf>
    <xf numFmtId="4" fontId="45" fillId="33" borderId="36" xfId="0" applyNumberFormat="1" applyFont="1" applyFill="1" applyBorder="1" applyAlignment="1">
      <alignment vertical="center" wrapText="1"/>
    </xf>
    <xf numFmtId="4" fontId="19" fillId="33" borderId="37" xfId="0" applyNumberFormat="1" applyFont="1" applyFill="1" applyBorder="1" applyAlignment="1">
      <alignment horizontal="left" vertical="center" wrapText="1"/>
    </xf>
    <xf numFmtId="4" fontId="19" fillId="33" borderId="40" xfId="0" applyNumberFormat="1" applyFont="1" applyFill="1" applyBorder="1" applyAlignment="1">
      <alignment horizontal="left" vertical="center" wrapText="1"/>
    </xf>
    <xf numFmtId="4" fontId="19" fillId="33" borderId="43" xfId="0" applyNumberFormat="1" applyFont="1" applyFill="1" applyBorder="1" applyAlignment="1">
      <alignment horizontal="left" vertical="center" wrapText="1"/>
    </xf>
    <xf numFmtId="0" fontId="0" fillId="0" borderId="36" xfId="0" applyFont="1" applyBorder="1" applyAlignment="1">
      <alignment/>
    </xf>
    <xf numFmtId="4" fontId="19" fillId="33" borderId="39" xfId="0" applyNumberFormat="1" applyFont="1" applyFill="1" applyBorder="1" applyAlignment="1">
      <alignment horizontal="left" vertical="center" wrapText="1"/>
    </xf>
    <xf numFmtId="4" fontId="19" fillId="33" borderId="0" xfId="0" applyNumberFormat="1" applyFont="1" applyFill="1" applyBorder="1" applyAlignment="1">
      <alignment horizontal="left" vertical="center" wrapText="1"/>
    </xf>
    <xf numFmtId="0" fontId="34" fillId="33" borderId="19" xfId="0" applyFont="1" applyFill="1" applyBorder="1" applyAlignment="1">
      <alignment vertical="center"/>
    </xf>
    <xf numFmtId="4" fontId="19" fillId="33" borderId="18" xfId="0" applyNumberFormat="1" applyFont="1" applyFill="1" applyBorder="1" applyAlignment="1">
      <alignment vertical="center" wrapText="1"/>
    </xf>
    <xf numFmtId="4" fontId="84" fillId="0" borderId="0" xfId="0" applyNumberFormat="1" applyFont="1" applyFill="1" applyBorder="1" applyAlignment="1">
      <alignment vertical="center"/>
    </xf>
    <xf numFmtId="4" fontId="4" fillId="33" borderId="36" xfId="0" applyNumberFormat="1" applyFont="1" applyFill="1" applyBorder="1" applyAlignment="1">
      <alignment vertical="center" wrapText="1"/>
    </xf>
    <xf numFmtId="0" fontId="46" fillId="0" borderId="36" xfId="0" applyFont="1" applyBorder="1" applyAlignment="1">
      <alignment/>
    </xf>
    <xf numFmtId="0" fontId="46" fillId="0" borderId="37" xfId="0" applyFont="1" applyBorder="1" applyAlignment="1">
      <alignment/>
    </xf>
    <xf numFmtId="0" fontId="45" fillId="33" borderId="36" xfId="0" applyFont="1" applyFill="1" applyBorder="1" applyAlignment="1">
      <alignment vertical="center"/>
    </xf>
    <xf numFmtId="4" fontId="6" fillId="0" borderId="36" xfId="0" applyNumberFormat="1" applyFont="1" applyFill="1" applyBorder="1" applyAlignment="1">
      <alignment vertical="center"/>
    </xf>
    <xf numFmtId="0" fontId="19" fillId="33" borderId="0" xfId="0" applyFont="1" applyFill="1" applyBorder="1" applyAlignment="1">
      <alignment vertical="center" wrapText="1"/>
    </xf>
    <xf numFmtId="4" fontId="5" fillId="0" borderId="0" xfId="0" applyNumberFormat="1" applyFont="1" applyBorder="1" applyAlignment="1">
      <alignment horizontal="center" vertical="center"/>
    </xf>
    <xf numFmtId="4" fontId="19" fillId="33" borderId="39" xfId="0" applyNumberFormat="1" applyFont="1" applyFill="1" applyBorder="1" applyAlignment="1">
      <alignment vertical="center" wrapText="1"/>
    </xf>
    <xf numFmtId="4" fontId="19" fillId="33" borderId="43" xfId="0" applyNumberFormat="1" applyFont="1" applyFill="1" applyBorder="1" applyAlignment="1">
      <alignment vertical="center" wrapText="1"/>
    </xf>
    <xf numFmtId="4" fontId="19" fillId="33" borderId="33" xfId="0" applyNumberFormat="1" applyFont="1" applyFill="1" applyBorder="1" applyAlignment="1">
      <alignment vertical="center" wrapText="1"/>
    </xf>
    <xf numFmtId="0" fontId="29" fillId="0" borderId="36" xfId="0" applyFont="1" applyBorder="1" applyAlignment="1">
      <alignment vertical="center" wrapText="1"/>
    </xf>
    <xf numFmtId="0" fontId="29" fillId="0" borderId="36" xfId="0" applyFont="1" applyBorder="1" applyAlignment="1">
      <alignment horizontal="right" vertical="center" wrapText="1"/>
    </xf>
    <xf numFmtId="0" fontId="19" fillId="33" borderId="39" xfId="0" applyFont="1" applyFill="1" applyBorder="1" applyAlignment="1">
      <alignment vertical="center" wrapText="1"/>
    </xf>
    <xf numFmtId="0" fontId="4" fillId="33" borderId="0" xfId="0" applyFont="1" applyFill="1" applyBorder="1" applyAlignment="1">
      <alignment vertical="center" wrapText="1"/>
    </xf>
    <xf numFmtId="0" fontId="0" fillId="0" borderId="36" xfId="0" applyBorder="1" applyAlignment="1">
      <alignment wrapText="1"/>
    </xf>
    <xf numFmtId="0" fontId="0" fillId="0" borderId="36" xfId="0" applyFont="1" applyBorder="1" applyAlignment="1">
      <alignment wrapText="1"/>
    </xf>
    <xf numFmtId="4" fontId="19" fillId="33" borderId="32" xfId="0" applyNumberFormat="1" applyFont="1" applyFill="1" applyBorder="1" applyAlignment="1">
      <alignment vertical="center" wrapText="1"/>
    </xf>
    <xf numFmtId="4" fontId="19" fillId="33" borderId="34" xfId="0" applyNumberFormat="1" applyFont="1" applyFill="1" applyBorder="1" applyAlignment="1">
      <alignment vertical="center" wrapText="1"/>
    </xf>
    <xf numFmtId="4" fontId="19" fillId="33" borderId="36" xfId="0" applyNumberFormat="1" applyFont="1" applyFill="1" applyBorder="1" applyAlignment="1">
      <alignment horizontal="left" vertical="center" wrapText="1"/>
    </xf>
    <xf numFmtId="4" fontId="19" fillId="33" borderId="32" xfId="0" applyNumberFormat="1" applyFont="1" applyFill="1" applyBorder="1" applyAlignment="1">
      <alignment horizontal="left" vertical="center" wrapText="1"/>
    </xf>
    <xf numFmtId="4" fontId="81" fillId="33" borderId="36" xfId="0" applyNumberFormat="1" applyFont="1" applyFill="1" applyBorder="1" applyAlignment="1">
      <alignment vertical="center" wrapText="1"/>
    </xf>
    <xf numFmtId="4" fontId="19" fillId="33" borderId="36" xfId="0" applyNumberFormat="1" applyFont="1" applyFill="1" applyBorder="1" applyAlignment="1">
      <alignment horizontal="left" vertical="center" wrapText="1"/>
    </xf>
    <xf numFmtId="4" fontId="19" fillId="33" borderId="32" xfId="0" applyNumberFormat="1" applyFont="1" applyFill="1" applyBorder="1" applyAlignment="1">
      <alignment horizontal="left" vertical="center" wrapText="1"/>
    </xf>
    <xf numFmtId="4" fontId="19" fillId="33" borderId="36" xfId="0" applyNumberFormat="1" applyFont="1" applyFill="1" applyBorder="1" applyAlignment="1">
      <alignment vertical="center" wrapText="1"/>
    </xf>
    <xf numFmtId="4" fontId="19" fillId="33" borderId="32" xfId="0" applyNumberFormat="1" applyFont="1" applyFill="1" applyBorder="1" applyAlignment="1">
      <alignment vertical="center" wrapText="1"/>
    </xf>
    <xf numFmtId="4" fontId="4" fillId="33" borderId="42" xfId="0" applyNumberFormat="1" applyFont="1" applyFill="1" applyBorder="1" applyAlignment="1">
      <alignment vertical="center" wrapText="1"/>
    </xf>
    <xf numFmtId="4" fontId="19" fillId="33" borderId="34" xfId="0" applyNumberFormat="1" applyFont="1" applyFill="1" applyBorder="1" applyAlignment="1">
      <alignment vertical="center" wrapText="1"/>
    </xf>
    <xf numFmtId="4" fontId="4" fillId="33" borderId="32" xfId="0" applyNumberFormat="1" applyFont="1" applyFill="1" applyBorder="1" applyAlignment="1">
      <alignment vertical="center" wrapText="1"/>
    </xf>
    <xf numFmtId="4" fontId="4" fillId="33" borderId="36" xfId="0" applyNumberFormat="1" applyFont="1" applyFill="1" applyBorder="1" applyAlignment="1">
      <alignment vertical="center" wrapText="1"/>
    </xf>
    <xf numFmtId="4" fontId="19" fillId="33" borderId="43" xfId="0" applyNumberFormat="1" applyFont="1" applyFill="1" applyBorder="1" applyAlignment="1">
      <alignment vertical="center" wrapText="1"/>
    </xf>
    <xf numFmtId="4" fontId="19" fillId="33" borderId="33" xfId="0" applyNumberFormat="1" applyFont="1" applyFill="1" applyBorder="1" applyAlignment="1">
      <alignment vertical="center" wrapText="1"/>
    </xf>
    <xf numFmtId="4" fontId="82" fillId="33" borderId="36" xfId="0" applyNumberFormat="1" applyFont="1" applyFill="1" applyBorder="1" applyAlignment="1">
      <alignment vertical="center" wrapText="1"/>
    </xf>
    <xf numFmtId="4" fontId="4" fillId="33" borderId="45" xfId="0" applyNumberFormat="1" applyFont="1" applyFill="1" applyBorder="1" applyAlignment="1">
      <alignment horizontal="left" vertical="center" wrapText="1"/>
    </xf>
    <xf numFmtId="4" fontId="4" fillId="33" borderId="39" xfId="0" applyNumberFormat="1" applyFont="1" applyFill="1" applyBorder="1" applyAlignment="1">
      <alignment horizontal="left" vertical="center" wrapText="1"/>
    </xf>
    <xf numFmtId="4" fontId="4" fillId="33" borderId="39" xfId="0" applyNumberFormat="1" applyFont="1" applyFill="1" applyBorder="1" applyAlignment="1">
      <alignment vertical="center" wrapText="1"/>
    </xf>
    <xf numFmtId="0" fontId="19" fillId="33" borderId="0" xfId="0" applyFont="1" applyFill="1" applyBorder="1" applyAlignment="1">
      <alignment vertical="center"/>
    </xf>
    <xf numFmtId="4" fontId="86" fillId="33" borderId="34" xfId="0" applyNumberFormat="1" applyFont="1" applyFill="1" applyBorder="1" applyAlignment="1">
      <alignment vertical="center" wrapText="1"/>
    </xf>
    <xf numFmtId="4" fontId="81" fillId="33" borderId="36" xfId="0" applyNumberFormat="1" applyFont="1" applyFill="1" applyBorder="1" applyAlignment="1">
      <alignment vertical="center" wrapText="1"/>
    </xf>
    <xf numFmtId="4" fontId="81" fillId="33" borderId="32" xfId="0" applyNumberFormat="1" applyFont="1" applyFill="1" applyBorder="1" applyAlignment="1">
      <alignment vertical="center" wrapText="1"/>
    </xf>
    <xf numFmtId="4" fontId="19" fillId="33" borderId="43" xfId="0" applyNumberFormat="1" applyFont="1" applyFill="1" applyBorder="1" applyAlignment="1">
      <alignment vertical="center" wrapText="1"/>
    </xf>
    <xf numFmtId="4" fontId="19" fillId="33" borderId="33" xfId="0" applyNumberFormat="1" applyFont="1" applyFill="1" applyBorder="1" applyAlignment="1">
      <alignment vertical="center" wrapText="1"/>
    </xf>
    <xf numFmtId="4" fontId="19" fillId="33" borderId="36" xfId="0" applyNumberFormat="1" applyFont="1" applyFill="1" applyBorder="1" applyAlignment="1">
      <alignment vertical="center" wrapText="1"/>
    </xf>
    <xf numFmtId="4" fontId="19" fillId="33" borderId="32" xfId="0" applyNumberFormat="1" applyFont="1" applyFill="1" applyBorder="1" applyAlignment="1">
      <alignment vertical="center" wrapText="1"/>
    </xf>
    <xf numFmtId="4" fontId="4" fillId="33" borderId="32" xfId="0" applyNumberFormat="1" applyFont="1" applyFill="1" applyBorder="1" applyAlignment="1">
      <alignment vertical="center" wrapText="1"/>
    </xf>
    <xf numFmtId="4" fontId="19" fillId="33" borderId="46" xfId="0" applyNumberFormat="1" applyFont="1" applyFill="1" applyBorder="1" applyAlignment="1">
      <alignment vertical="center" wrapText="1"/>
    </xf>
    <xf numFmtId="4" fontId="4" fillId="33" borderId="39" xfId="0" applyNumberFormat="1" applyFont="1" applyFill="1" applyBorder="1" applyAlignment="1">
      <alignment vertical="center" wrapText="1"/>
    </xf>
    <xf numFmtId="0" fontId="19" fillId="33" borderId="0" xfId="0" applyFont="1" applyFill="1" applyBorder="1" applyAlignment="1">
      <alignment vertical="center"/>
    </xf>
    <xf numFmtId="4" fontId="19" fillId="33" borderId="32" xfId="0" applyNumberFormat="1" applyFont="1" applyFill="1" applyBorder="1" applyAlignment="1">
      <alignment vertical="center" wrapText="1"/>
    </xf>
    <xf numFmtId="4" fontId="4" fillId="33" borderId="34" xfId="0" applyNumberFormat="1" applyFont="1" applyFill="1" applyBorder="1" applyAlignment="1">
      <alignment vertical="center" wrapText="1"/>
    </xf>
    <xf numFmtId="0" fontId="34" fillId="33" borderId="34" xfId="0" applyFont="1" applyFill="1" applyBorder="1" applyAlignment="1">
      <alignment vertical="center"/>
    </xf>
    <xf numFmtId="0" fontId="29" fillId="0" borderId="37" xfId="0" applyFont="1" applyBorder="1" applyAlignment="1">
      <alignment wrapText="1"/>
    </xf>
    <xf numFmtId="0" fontId="29" fillId="0" borderId="38" xfId="0" applyFont="1" applyBorder="1" applyAlignment="1">
      <alignment wrapText="1"/>
    </xf>
    <xf numFmtId="4" fontId="19" fillId="33" borderId="41" xfId="0" applyNumberFormat="1" applyFont="1" applyFill="1" applyBorder="1" applyAlignment="1">
      <alignment vertical="center" wrapText="1"/>
    </xf>
    <xf numFmtId="4" fontId="19" fillId="33" borderId="45" xfId="0" applyNumberFormat="1" applyFont="1" applyFill="1" applyBorder="1" applyAlignment="1">
      <alignment vertical="center" wrapText="1"/>
    </xf>
    <xf numFmtId="4" fontId="4" fillId="33" borderId="35" xfId="0" applyNumberFormat="1" applyFont="1" applyFill="1" applyBorder="1" applyAlignment="1">
      <alignment vertical="center" wrapText="1"/>
    </xf>
    <xf numFmtId="4" fontId="19" fillId="33" borderId="38" xfId="0" applyNumberFormat="1" applyFont="1" applyFill="1" applyBorder="1" applyAlignment="1">
      <alignment vertical="center" wrapText="1"/>
    </xf>
    <xf numFmtId="4" fontId="4" fillId="33" borderId="45" xfId="0" applyNumberFormat="1" applyFont="1" applyFill="1" applyBorder="1" applyAlignment="1">
      <alignment vertical="center" wrapText="1"/>
    </xf>
    <xf numFmtId="4" fontId="19" fillId="33" borderId="44" xfId="0" applyNumberFormat="1" applyFont="1" applyFill="1" applyBorder="1" applyAlignment="1">
      <alignment vertical="center" wrapText="1"/>
    </xf>
    <xf numFmtId="4" fontId="19" fillId="33" borderId="37" xfId="0" applyNumberFormat="1" applyFont="1" applyFill="1" applyBorder="1" applyAlignment="1">
      <alignment vertical="center" wrapText="1"/>
    </xf>
    <xf numFmtId="4" fontId="19" fillId="33" borderId="47" xfId="0" applyNumberFormat="1" applyFont="1" applyFill="1" applyBorder="1" applyAlignment="1">
      <alignment horizontal="left" vertical="center" wrapText="1"/>
    </xf>
    <xf numFmtId="0" fontId="29" fillId="0" borderId="38" xfId="0" applyFont="1" applyFill="1" applyBorder="1" applyAlignment="1">
      <alignment/>
    </xf>
    <xf numFmtId="0" fontId="0" fillId="0" borderId="38" xfId="0" applyBorder="1" applyAlignment="1">
      <alignment/>
    </xf>
    <xf numFmtId="0" fontId="29" fillId="0" borderId="40" xfId="0" applyFont="1" applyFill="1" applyBorder="1" applyAlignment="1">
      <alignment/>
    </xf>
    <xf numFmtId="0" fontId="29" fillId="0" borderId="36" xfId="0" applyFont="1" applyFill="1" applyBorder="1" applyAlignment="1">
      <alignment wrapText="1"/>
    </xf>
    <xf numFmtId="4" fontId="4" fillId="33" borderId="0" xfId="0" applyNumberFormat="1" applyFont="1" applyFill="1" applyBorder="1" applyAlignment="1">
      <alignment horizontal="left" vertical="center" wrapText="1"/>
    </xf>
    <xf numFmtId="0" fontId="34" fillId="33" borderId="21" xfId="0" applyFont="1" applyFill="1" applyBorder="1" applyAlignment="1">
      <alignment vertical="center"/>
    </xf>
    <xf numFmtId="4" fontId="5" fillId="0" borderId="0" xfId="0" applyNumberFormat="1" applyFont="1" applyBorder="1" applyAlignment="1">
      <alignment horizontal="center" vertical="center"/>
    </xf>
    <xf numFmtId="4" fontId="19" fillId="33" borderId="43" xfId="0" applyNumberFormat="1" applyFont="1" applyFill="1" applyBorder="1" applyAlignment="1">
      <alignment vertical="center" wrapText="1"/>
    </xf>
    <xf numFmtId="4" fontId="19" fillId="33" borderId="33" xfId="0" applyNumberFormat="1" applyFont="1" applyFill="1" applyBorder="1" applyAlignment="1">
      <alignment vertical="center" wrapText="1"/>
    </xf>
    <xf numFmtId="4" fontId="4" fillId="33" borderId="39" xfId="0" applyNumberFormat="1" applyFont="1" applyFill="1" applyBorder="1" applyAlignment="1">
      <alignment vertical="center" wrapText="1"/>
    </xf>
    <xf numFmtId="4" fontId="4" fillId="33" borderId="47" xfId="0" applyNumberFormat="1" applyFont="1" applyFill="1" applyBorder="1" applyAlignment="1">
      <alignment vertical="center" wrapText="1"/>
    </xf>
    <xf numFmtId="4" fontId="19" fillId="33" borderId="20" xfId="0" applyNumberFormat="1" applyFont="1" applyFill="1" applyBorder="1" applyAlignment="1">
      <alignment horizontal="left" vertical="center" wrapText="1"/>
    </xf>
    <xf numFmtId="4" fontId="19" fillId="33" borderId="36" xfId="0" applyNumberFormat="1" applyFont="1" applyFill="1" applyBorder="1" applyAlignment="1">
      <alignment vertical="center" wrapText="1"/>
    </xf>
    <xf numFmtId="0" fontId="34" fillId="33" borderId="19" xfId="0" applyFont="1" applyFill="1" applyBorder="1" applyAlignment="1">
      <alignment vertical="center" wrapText="1"/>
    </xf>
    <xf numFmtId="4" fontId="19" fillId="33" borderId="40" xfId="0" applyNumberFormat="1" applyFont="1" applyFill="1" applyBorder="1" applyAlignment="1">
      <alignment horizontal="left" vertical="center" wrapText="1"/>
    </xf>
    <xf numFmtId="4" fontId="19" fillId="33" borderId="43" xfId="0" applyNumberFormat="1" applyFont="1" applyFill="1" applyBorder="1" applyAlignment="1">
      <alignment vertical="center" wrapText="1"/>
    </xf>
    <xf numFmtId="4" fontId="19" fillId="33" borderId="33" xfId="0" applyNumberFormat="1" applyFont="1" applyFill="1" applyBorder="1" applyAlignment="1">
      <alignment vertical="center" wrapText="1"/>
    </xf>
    <xf numFmtId="4" fontId="19" fillId="33" borderId="36" xfId="0" applyNumberFormat="1" applyFont="1" applyFill="1" applyBorder="1" applyAlignment="1">
      <alignment vertical="center" wrapText="1"/>
    </xf>
    <xf numFmtId="4" fontId="4" fillId="33" borderId="42" xfId="0" applyNumberFormat="1" applyFont="1" applyFill="1" applyBorder="1" applyAlignment="1">
      <alignment vertical="center" wrapText="1"/>
    </xf>
    <xf numFmtId="4" fontId="4" fillId="33" borderId="39" xfId="0" applyNumberFormat="1" applyFont="1" applyFill="1" applyBorder="1" applyAlignment="1">
      <alignment vertical="center" wrapText="1"/>
    </xf>
    <xf numFmtId="4" fontId="19" fillId="33" borderId="41" xfId="0" applyNumberFormat="1" applyFont="1" applyFill="1" applyBorder="1" applyAlignment="1">
      <alignment vertical="center" wrapText="1"/>
    </xf>
    <xf numFmtId="4" fontId="19" fillId="33" borderId="36" xfId="0" applyNumberFormat="1" applyFont="1" applyFill="1" applyBorder="1" applyAlignment="1">
      <alignment vertical="center" wrapText="1"/>
    </xf>
    <xf numFmtId="4" fontId="19" fillId="33" borderId="36" xfId="0" applyNumberFormat="1" applyFont="1" applyFill="1" applyBorder="1" applyAlignment="1">
      <alignment vertical="center" wrapText="1"/>
    </xf>
    <xf numFmtId="4" fontId="4" fillId="33" borderId="42" xfId="0" applyNumberFormat="1" applyFont="1" applyFill="1" applyBorder="1" applyAlignment="1">
      <alignment vertical="center" wrapText="1"/>
    </xf>
    <xf numFmtId="4" fontId="19" fillId="33" borderId="34" xfId="0" applyNumberFormat="1" applyFont="1" applyFill="1" applyBorder="1" applyAlignment="1">
      <alignment vertical="center" wrapText="1"/>
    </xf>
    <xf numFmtId="4" fontId="4" fillId="33" borderId="32" xfId="0" applyNumberFormat="1" applyFont="1" applyFill="1" applyBorder="1" applyAlignment="1">
      <alignment vertical="center" wrapText="1"/>
    </xf>
    <xf numFmtId="4" fontId="4" fillId="33" borderId="36" xfId="0" applyNumberFormat="1" applyFont="1" applyFill="1" applyBorder="1" applyAlignment="1">
      <alignment vertical="center" wrapText="1"/>
    </xf>
    <xf numFmtId="4" fontId="19" fillId="33" borderId="43" xfId="0" applyNumberFormat="1" applyFont="1" applyFill="1" applyBorder="1" applyAlignment="1">
      <alignment vertical="center" wrapText="1"/>
    </xf>
    <xf numFmtId="4" fontId="19" fillId="33" borderId="33" xfId="0" applyNumberFormat="1" applyFont="1" applyFill="1" applyBorder="1" applyAlignment="1">
      <alignment vertical="center" wrapText="1"/>
    </xf>
    <xf numFmtId="4" fontId="4" fillId="33" borderId="45" xfId="0" applyNumberFormat="1" applyFont="1" applyFill="1" applyBorder="1" applyAlignment="1">
      <alignment horizontal="left" vertical="center" wrapText="1"/>
    </xf>
    <xf numFmtId="4" fontId="4" fillId="33" borderId="39" xfId="0" applyNumberFormat="1" applyFont="1" applyFill="1" applyBorder="1" applyAlignment="1">
      <alignment vertical="center" wrapText="1"/>
    </xf>
    <xf numFmtId="4" fontId="19" fillId="33" borderId="41" xfId="0" applyNumberFormat="1" applyFont="1" applyFill="1" applyBorder="1" applyAlignment="1">
      <alignment vertical="center" wrapText="1"/>
    </xf>
    <xf numFmtId="4" fontId="19" fillId="33" borderId="36" xfId="0" applyNumberFormat="1" applyFont="1" applyFill="1" applyBorder="1" applyAlignment="1">
      <alignment vertical="center" wrapText="1"/>
    </xf>
    <xf numFmtId="4" fontId="19" fillId="33" borderId="32" xfId="0" applyNumberFormat="1" applyFont="1" applyFill="1" applyBorder="1" applyAlignment="1">
      <alignment vertical="center" wrapText="1"/>
    </xf>
    <xf numFmtId="4" fontId="19" fillId="33" borderId="40" xfId="0" applyNumberFormat="1" applyFont="1" applyFill="1" applyBorder="1" applyAlignment="1">
      <alignment vertical="center" wrapText="1"/>
    </xf>
    <xf numFmtId="0" fontId="34" fillId="33" borderId="20" xfId="0" applyFont="1" applyFill="1" applyBorder="1" applyAlignment="1">
      <alignment vertical="center" wrapText="1"/>
    </xf>
    <xf numFmtId="0" fontId="34" fillId="33" borderId="0" xfId="0" applyFont="1" applyFill="1" applyBorder="1" applyAlignment="1">
      <alignment vertical="center"/>
    </xf>
    <xf numFmtId="4" fontId="19" fillId="33" borderId="38" xfId="0" applyNumberFormat="1" applyFont="1" applyFill="1" applyBorder="1" applyAlignment="1">
      <alignment horizontal="left" vertical="center" wrapText="1"/>
    </xf>
    <xf numFmtId="4" fontId="19" fillId="33" borderId="39" xfId="0" applyNumberFormat="1" applyFont="1" applyFill="1" applyBorder="1" applyAlignment="1">
      <alignment horizontal="left" vertical="center" wrapText="1"/>
    </xf>
    <xf numFmtId="4" fontId="19" fillId="33" borderId="40" xfId="0" applyNumberFormat="1" applyFont="1" applyFill="1" applyBorder="1" applyAlignment="1">
      <alignment vertical="center" wrapText="1"/>
    </xf>
    <xf numFmtId="4" fontId="10" fillId="0" borderId="0" xfId="0" applyNumberFormat="1" applyFont="1" applyBorder="1" applyAlignment="1">
      <alignment horizontal="center" vertical="center"/>
    </xf>
    <xf numFmtId="4" fontId="4" fillId="33" borderId="47" xfId="0" applyNumberFormat="1" applyFont="1" applyFill="1" applyBorder="1" applyAlignment="1">
      <alignment horizontal="left" vertical="center" wrapText="1"/>
    </xf>
    <xf numFmtId="0" fontId="29" fillId="0" borderId="43" xfId="0" applyFont="1" applyBorder="1" applyAlignment="1">
      <alignment wrapText="1"/>
    </xf>
    <xf numFmtId="0" fontId="29" fillId="0" borderId="33" xfId="0" applyFont="1" applyBorder="1" applyAlignment="1">
      <alignment/>
    </xf>
    <xf numFmtId="4" fontId="19" fillId="33" borderId="46" xfId="0" applyNumberFormat="1" applyFont="1" applyFill="1" applyBorder="1" applyAlignment="1">
      <alignment horizontal="left" vertical="center" wrapText="1"/>
    </xf>
    <xf numFmtId="4" fontId="19" fillId="33" borderId="36" xfId="0" applyNumberFormat="1" applyFont="1" applyFill="1" applyBorder="1" applyAlignment="1">
      <alignment horizontal="left" vertical="center" wrapText="1"/>
    </xf>
    <xf numFmtId="4" fontId="19" fillId="33" borderId="32" xfId="0" applyNumberFormat="1" applyFont="1" applyFill="1" applyBorder="1" applyAlignment="1">
      <alignment horizontal="left" vertical="center" wrapText="1"/>
    </xf>
    <xf numFmtId="4" fontId="19" fillId="33" borderId="36" xfId="0" applyNumberFormat="1" applyFont="1" applyFill="1" applyBorder="1" applyAlignment="1">
      <alignment vertical="center" wrapText="1"/>
    </xf>
    <xf numFmtId="4" fontId="19" fillId="33" borderId="32" xfId="0" applyNumberFormat="1" applyFont="1" applyFill="1" applyBorder="1" applyAlignment="1">
      <alignment vertical="center" wrapText="1"/>
    </xf>
    <xf numFmtId="4" fontId="19" fillId="33" borderId="46" xfId="0" applyNumberFormat="1" applyFont="1" applyFill="1" applyBorder="1" applyAlignment="1">
      <alignment vertical="center" wrapText="1"/>
    </xf>
    <xf numFmtId="0" fontId="19" fillId="33" borderId="32" xfId="0" applyFont="1" applyFill="1" applyBorder="1" applyAlignment="1">
      <alignment vertical="center" wrapText="1"/>
    </xf>
    <xf numFmtId="0" fontId="19" fillId="33" borderId="34" xfId="0" applyFont="1" applyFill="1" applyBorder="1" applyAlignment="1">
      <alignment vertical="center" wrapText="1"/>
    </xf>
    <xf numFmtId="4" fontId="4" fillId="33" borderId="42" xfId="0" applyNumberFormat="1" applyFont="1" applyFill="1" applyBorder="1" applyAlignment="1">
      <alignment vertical="center" wrapText="1"/>
    </xf>
    <xf numFmtId="4" fontId="19" fillId="33" borderId="34" xfId="0" applyNumberFormat="1" applyFont="1" applyFill="1" applyBorder="1" applyAlignment="1">
      <alignment vertical="center" wrapText="1"/>
    </xf>
    <xf numFmtId="4" fontId="4" fillId="33" borderId="32" xfId="0" applyNumberFormat="1" applyFont="1" applyFill="1" applyBorder="1" applyAlignment="1">
      <alignment vertical="center" wrapText="1"/>
    </xf>
    <xf numFmtId="4" fontId="4" fillId="33" borderId="36" xfId="0" applyNumberFormat="1" applyFont="1" applyFill="1" applyBorder="1" applyAlignment="1">
      <alignment vertical="center" wrapText="1"/>
    </xf>
    <xf numFmtId="4" fontId="19" fillId="33" borderId="43" xfId="0" applyNumberFormat="1" applyFont="1" applyFill="1" applyBorder="1" applyAlignment="1">
      <alignment vertical="center" wrapText="1"/>
    </xf>
    <xf numFmtId="4" fontId="19" fillId="33" borderId="33" xfId="0" applyNumberFormat="1" applyFont="1" applyFill="1" applyBorder="1" applyAlignment="1">
      <alignment vertical="center" wrapText="1"/>
    </xf>
    <xf numFmtId="4" fontId="91" fillId="33" borderId="36" xfId="0" applyNumberFormat="1" applyFont="1" applyFill="1" applyBorder="1" applyAlignment="1">
      <alignment vertical="center" wrapText="1"/>
    </xf>
    <xf numFmtId="4" fontId="19" fillId="33" borderId="43" xfId="0" applyNumberFormat="1" applyFont="1" applyFill="1" applyBorder="1" applyAlignment="1">
      <alignment horizontal="left" vertical="center" wrapText="1"/>
    </xf>
    <xf numFmtId="4" fontId="4" fillId="33" borderId="39" xfId="0" applyNumberFormat="1" applyFont="1" applyFill="1" applyBorder="1" applyAlignment="1">
      <alignment vertical="center" wrapText="1"/>
    </xf>
    <xf numFmtId="4" fontId="19" fillId="33" borderId="41" xfId="0" applyNumberFormat="1" applyFont="1" applyFill="1" applyBorder="1" applyAlignment="1">
      <alignment vertical="center" wrapText="1"/>
    </xf>
    <xf numFmtId="4" fontId="19" fillId="33" borderId="36" xfId="0" applyNumberFormat="1" applyFont="1" applyFill="1" applyBorder="1" applyAlignment="1">
      <alignment vertical="center" wrapText="1"/>
    </xf>
    <xf numFmtId="4" fontId="19" fillId="33" borderId="32" xfId="0" applyNumberFormat="1" applyFont="1" applyFill="1" applyBorder="1" applyAlignment="1">
      <alignment vertical="center" wrapText="1"/>
    </xf>
    <xf numFmtId="4" fontId="19" fillId="33" borderId="44" xfId="0" applyNumberFormat="1" applyFont="1" applyFill="1" applyBorder="1" applyAlignment="1">
      <alignment vertical="center" wrapText="1"/>
    </xf>
    <xf numFmtId="4" fontId="19" fillId="33" borderId="39" xfId="0" applyNumberFormat="1" applyFont="1" applyFill="1" applyBorder="1" applyAlignment="1">
      <alignment vertical="center" wrapText="1"/>
    </xf>
    <xf numFmtId="4" fontId="19" fillId="33" borderId="33" xfId="0" applyNumberFormat="1" applyFont="1" applyFill="1" applyBorder="1" applyAlignment="1">
      <alignment horizontal="left" vertical="center" wrapText="1"/>
    </xf>
    <xf numFmtId="4" fontId="19" fillId="33" borderId="36" xfId="0" applyNumberFormat="1" applyFont="1" applyFill="1" applyBorder="1" applyAlignment="1">
      <alignment vertical="center" wrapText="1"/>
    </xf>
    <xf numFmtId="4" fontId="19" fillId="33" borderId="34" xfId="0" applyNumberFormat="1" applyFont="1" applyFill="1" applyBorder="1" applyAlignment="1">
      <alignment vertical="center" wrapText="1"/>
    </xf>
    <xf numFmtId="4" fontId="19" fillId="33" borderId="36" xfId="0" applyNumberFormat="1" applyFont="1" applyFill="1" applyBorder="1" applyAlignment="1">
      <alignment vertical="center" wrapText="1"/>
    </xf>
    <xf numFmtId="4" fontId="91" fillId="33" borderId="43" xfId="0" applyNumberFormat="1" applyFont="1" applyFill="1" applyBorder="1" applyAlignment="1">
      <alignment vertical="center" wrapText="1"/>
    </xf>
    <xf numFmtId="4" fontId="91" fillId="33" borderId="33" xfId="0" applyNumberFormat="1" applyFont="1" applyFill="1" applyBorder="1" applyAlignment="1">
      <alignment vertical="center" wrapText="1"/>
    </xf>
    <xf numFmtId="4" fontId="91" fillId="33" borderId="36" xfId="0" applyNumberFormat="1" applyFont="1" applyFill="1" applyBorder="1" applyAlignment="1">
      <alignment vertical="center" wrapText="1"/>
    </xf>
    <xf numFmtId="4" fontId="92" fillId="33" borderId="0" xfId="0" applyNumberFormat="1" applyFont="1" applyFill="1" applyBorder="1" applyAlignment="1">
      <alignment vertical="center" wrapText="1"/>
    </xf>
    <xf numFmtId="4" fontId="10" fillId="33" borderId="36" xfId="0" applyNumberFormat="1" applyFont="1" applyFill="1" applyBorder="1" applyAlignment="1">
      <alignment vertical="center" wrapText="1"/>
    </xf>
    <xf numFmtId="4" fontId="19" fillId="33" borderId="36" xfId="0" applyNumberFormat="1" applyFont="1" applyFill="1" applyBorder="1" applyAlignment="1">
      <alignment vertical="center"/>
    </xf>
    <xf numFmtId="165" fontId="0" fillId="0" borderId="36" xfId="0" applyNumberFormat="1" applyFont="1" applyBorder="1" applyAlignment="1">
      <alignment/>
    </xf>
    <xf numFmtId="0" fontId="34" fillId="33" borderId="20" xfId="0" applyFont="1" applyFill="1" applyBorder="1" applyAlignment="1">
      <alignment vertical="center"/>
    </xf>
    <xf numFmtId="0" fontId="29" fillId="0" borderId="40" xfId="0" applyFont="1" applyBorder="1" applyAlignment="1">
      <alignment/>
    </xf>
    <xf numFmtId="4" fontId="10" fillId="33" borderId="0" xfId="0" applyNumberFormat="1" applyFont="1" applyFill="1" applyBorder="1" applyAlignment="1">
      <alignment vertical="center" wrapText="1"/>
    </xf>
    <xf numFmtId="4" fontId="19" fillId="33" borderId="38" xfId="0" applyNumberFormat="1" applyFont="1" applyFill="1" applyBorder="1" applyAlignment="1">
      <alignment vertical="center"/>
    </xf>
    <xf numFmtId="0" fontId="0" fillId="0" borderId="38" xfId="0" applyFont="1" applyBorder="1" applyAlignment="1">
      <alignment/>
    </xf>
    <xf numFmtId="0" fontId="29" fillId="0" borderId="40" xfId="0" applyFont="1" applyFill="1" applyBorder="1" applyAlignment="1">
      <alignment wrapText="1"/>
    </xf>
    <xf numFmtId="0" fontId="0" fillId="0" borderId="40" xfId="0" applyFont="1" applyFill="1" applyBorder="1" applyAlignment="1">
      <alignment/>
    </xf>
    <xf numFmtId="4" fontId="91" fillId="33" borderId="0" xfId="0" applyNumberFormat="1" applyFont="1" applyFill="1" applyBorder="1" applyAlignment="1">
      <alignment vertical="center" wrapText="1"/>
    </xf>
    <xf numFmtId="4" fontId="19" fillId="33" borderId="36" xfId="0" applyNumberFormat="1" applyFont="1" applyFill="1" applyBorder="1" applyAlignment="1">
      <alignment horizontal="left" vertical="center" wrapText="1"/>
    </xf>
    <xf numFmtId="4" fontId="19" fillId="33" borderId="32" xfId="0" applyNumberFormat="1" applyFont="1" applyFill="1" applyBorder="1" applyAlignment="1">
      <alignment horizontal="left" vertical="center" wrapText="1"/>
    </xf>
    <xf numFmtId="4" fontId="19" fillId="33" borderId="36" xfId="0" applyNumberFormat="1" applyFont="1" applyFill="1" applyBorder="1" applyAlignment="1">
      <alignment vertical="center" wrapText="1"/>
    </xf>
    <xf numFmtId="4" fontId="4" fillId="33" borderId="42" xfId="0" applyNumberFormat="1" applyFont="1" applyFill="1" applyBorder="1" applyAlignment="1">
      <alignment vertical="center" wrapText="1"/>
    </xf>
    <xf numFmtId="4" fontId="19" fillId="33" borderId="34" xfId="0" applyNumberFormat="1" applyFont="1" applyFill="1" applyBorder="1" applyAlignment="1">
      <alignment vertical="center" wrapText="1"/>
    </xf>
    <xf numFmtId="4" fontId="4" fillId="33" borderId="36" xfId="0" applyNumberFormat="1" applyFont="1" applyFill="1" applyBorder="1" applyAlignment="1">
      <alignment vertical="center" wrapText="1"/>
    </xf>
    <xf numFmtId="4" fontId="19" fillId="33" borderId="43" xfId="0" applyNumberFormat="1" applyFont="1" applyFill="1" applyBorder="1" applyAlignment="1">
      <alignment vertical="center" wrapText="1"/>
    </xf>
    <xf numFmtId="4" fontId="19" fillId="33" borderId="33" xfId="0" applyNumberFormat="1" applyFont="1" applyFill="1" applyBorder="1" applyAlignment="1">
      <alignment vertical="center" wrapText="1"/>
    </xf>
    <xf numFmtId="0" fontId="19" fillId="33" borderId="43" xfId="0" applyFont="1" applyFill="1" applyBorder="1" applyAlignment="1">
      <alignment vertical="center" wrapText="1"/>
    </xf>
    <xf numFmtId="0" fontId="19" fillId="33" borderId="33" xfId="0" applyFont="1" applyFill="1" applyBorder="1" applyAlignment="1">
      <alignment vertical="center" wrapText="1"/>
    </xf>
    <xf numFmtId="4" fontId="4" fillId="33" borderId="39" xfId="0" applyNumberFormat="1" applyFont="1" applyFill="1" applyBorder="1" applyAlignment="1">
      <alignment vertical="center" wrapText="1"/>
    </xf>
    <xf numFmtId="4" fontId="19" fillId="33" borderId="41" xfId="0" applyNumberFormat="1" applyFont="1" applyFill="1" applyBorder="1" applyAlignment="1">
      <alignment vertical="center" wrapText="1"/>
    </xf>
    <xf numFmtId="4" fontId="19" fillId="33" borderId="36" xfId="0" applyNumberFormat="1" applyFont="1" applyFill="1" applyBorder="1" applyAlignment="1">
      <alignment vertical="center" wrapText="1"/>
    </xf>
    <xf numFmtId="4" fontId="19" fillId="33" borderId="32" xfId="0" applyNumberFormat="1" applyFont="1" applyFill="1" applyBorder="1" applyAlignment="1">
      <alignment vertical="center" wrapText="1"/>
    </xf>
    <xf numFmtId="4" fontId="19" fillId="33" borderId="39" xfId="0" applyNumberFormat="1" applyFont="1" applyFill="1" applyBorder="1" applyAlignment="1">
      <alignment vertical="center" wrapText="1"/>
    </xf>
    <xf numFmtId="4" fontId="19" fillId="33" borderId="43" xfId="0" applyNumberFormat="1" applyFont="1" applyFill="1" applyBorder="1" applyAlignment="1">
      <alignment vertical="center" wrapText="1"/>
    </xf>
    <xf numFmtId="4" fontId="19" fillId="33" borderId="33" xfId="0" applyNumberFormat="1" applyFont="1" applyFill="1" applyBorder="1" applyAlignment="1">
      <alignment vertical="center" wrapText="1"/>
    </xf>
    <xf numFmtId="4" fontId="19" fillId="33" borderId="36" xfId="0" applyNumberFormat="1" applyFont="1" applyFill="1" applyBorder="1" applyAlignment="1">
      <alignment vertical="center" wrapText="1"/>
    </xf>
    <xf numFmtId="4" fontId="4" fillId="33" borderId="32" xfId="0" applyNumberFormat="1" applyFont="1" applyFill="1" applyBorder="1" applyAlignment="1">
      <alignment vertical="center" wrapText="1"/>
    </xf>
    <xf numFmtId="4" fontId="19" fillId="33" borderId="41" xfId="0" applyNumberFormat="1" applyFont="1" applyFill="1" applyBorder="1" applyAlignment="1">
      <alignment vertical="center" wrapText="1"/>
    </xf>
    <xf numFmtId="4" fontId="19" fillId="33" borderId="42" xfId="0" applyNumberFormat="1" applyFont="1" applyFill="1" applyBorder="1" applyAlignment="1">
      <alignment vertical="center" wrapText="1"/>
    </xf>
    <xf numFmtId="4" fontId="19" fillId="33" borderId="36" xfId="0" applyNumberFormat="1" applyFont="1" applyFill="1" applyBorder="1" applyAlignment="1">
      <alignment vertical="center" wrapText="1"/>
    </xf>
    <xf numFmtId="4" fontId="19" fillId="33" borderId="32" xfId="0" applyNumberFormat="1" applyFont="1" applyFill="1" applyBorder="1" applyAlignment="1">
      <alignment vertical="center" wrapText="1"/>
    </xf>
    <xf numFmtId="4" fontId="86" fillId="33" borderId="33" xfId="0" applyNumberFormat="1" applyFont="1" applyFill="1" applyBorder="1" applyAlignment="1">
      <alignment vertical="center" wrapText="1"/>
    </xf>
    <xf numFmtId="4" fontId="19" fillId="33" borderId="39" xfId="0" applyNumberFormat="1" applyFont="1" applyFill="1" applyBorder="1" applyAlignment="1">
      <alignment vertical="center" wrapText="1"/>
    </xf>
    <xf numFmtId="4" fontId="81" fillId="33" borderId="41" xfId="0" applyNumberFormat="1" applyFont="1" applyFill="1" applyBorder="1" applyAlignment="1">
      <alignment vertical="center" wrapText="1"/>
    </xf>
    <xf numFmtId="4" fontId="81" fillId="33" borderId="42" xfId="0" applyNumberFormat="1" applyFont="1" applyFill="1" applyBorder="1" applyAlignment="1">
      <alignment vertical="center" wrapText="1"/>
    </xf>
    <xf numFmtId="4" fontId="81" fillId="33" borderId="41" xfId="0" applyNumberFormat="1" applyFont="1" applyFill="1" applyBorder="1" applyAlignment="1">
      <alignment horizontal="left" vertical="center" wrapText="1"/>
    </xf>
    <xf numFmtId="4" fontId="81" fillId="33" borderId="42" xfId="0" applyNumberFormat="1" applyFont="1" applyFill="1" applyBorder="1" applyAlignment="1">
      <alignment horizontal="left" vertical="center" wrapText="1"/>
    </xf>
    <xf numFmtId="4" fontId="81" fillId="33" borderId="48" xfId="0" applyNumberFormat="1" applyFont="1" applyFill="1" applyBorder="1" applyAlignment="1">
      <alignment horizontal="left" vertical="center" wrapText="1"/>
    </xf>
    <xf numFmtId="4" fontId="81" fillId="33" borderId="49" xfId="0" applyNumberFormat="1" applyFont="1" applyFill="1" applyBorder="1" applyAlignment="1">
      <alignment horizontal="left" vertical="center" wrapText="1"/>
    </xf>
    <xf numFmtId="4" fontId="5" fillId="0" borderId="0" xfId="0" applyNumberFormat="1" applyFont="1" applyAlignment="1">
      <alignment horizontal="center"/>
    </xf>
    <xf numFmtId="4" fontId="5" fillId="0" borderId="0" xfId="0" applyNumberFormat="1" applyFont="1" applyBorder="1" applyAlignment="1">
      <alignment horizontal="center" vertical="center"/>
    </xf>
    <xf numFmtId="4" fontId="4" fillId="0" borderId="32" xfId="0" applyNumberFormat="1" applyFont="1" applyBorder="1" applyAlignment="1">
      <alignment horizontal="center" vertical="center"/>
    </xf>
    <xf numFmtId="4" fontId="4" fillId="0" borderId="19" xfId="0" applyNumberFormat="1" applyFont="1" applyBorder="1" applyAlignment="1">
      <alignment horizontal="center" vertical="center"/>
    </xf>
    <xf numFmtId="4" fontId="81" fillId="33" borderId="44" xfId="0" applyNumberFormat="1" applyFont="1" applyFill="1" applyBorder="1" applyAlignment="1">
      <alignment horizontal="left" vertical="center" wrapText="1"/>
    </xf>
    <xf numFmtId="4" fontId="81" fillId="33" borderId="50" xfId="0" applyNumberFormat="1" applyFont="1" applyFill="1" applyBorder="1" applyAlignment="1">
      <alignment horizontal="left" vertical="center" wrapText="1"/>
    </xf>
    <xf numFmtId="4" fontId="81" fillId="33" borderId="51" xfId="0" applyNumberFormat="1" applyFont="1" applyFill="1" applyBorder="1" applyAlignment="1">
      <alignment horizontal="left" vertical="center" wrapText="1"/>
    </xf>
    <xf numFmtId="4" fontId="81" fillId="33" borderId="38" xfId="0" applyNumberFormat="1" applyFont="1" applyFill="1" applyBorder="1" applyAlignment="1">
      <alignment horizontal="left" vertical="center" wrapText="1"/>
    </xf>
    <xf numFmtId="4" fontId="81" fillId="33" borderId="45" xfId="0" applyNumberFormat="1" applyFont="1" applyFill="1" applyBorder="1" applyAlignment="1">
      <alignment horizontal="left" vertical="center" wrapText="1"/>
    </xf>
    <xf numFmtId="4" fontId="81" fillId="33" borderId="36" xfId="0" applyNumberFormat="1" applyFont="1" applyFill="1" applyBorder="1" applyAlignment="1">
      <alignment vertical="center" wrapText="1"/>
    </xf>
    <xf numFmtId="4" fontId="81" fillId="33" borderId="32" xfId="0" applyNumberFormat="1" applyFont="1" applyFill="1" applyBorder="1" applyAlignment="1">
      <alignment vertical="center" wrapText="1"/>
    </xf>
    <xf numFmtId="0" fontId="81" fillId="33" borderId="39" xfId="0" applyFont="1" applyFill="1" applyBorder="1" applyAlignment="1">
      <alignment vertical="center" wrapText="1"/>
    </xf>
    <xf numFmtId="0" fontId="81" fillId="33" borderId="0" xfId="0" applyFont="1" applyFill="1" applyBorder="1" applyAlignment="1">
      <alignment vertical="center" wrapText="1"/>
    </xf>
    <xf numFmtId="1" fontId="83" fillId="0" borderId="0" xfId="0" applyNumberFormat="1" applyFont="1" applyFill="1" applyAlignment="1">
      <alignment horizontal="center" vertical="center"/>
    </xf>
    <xf numFmtId="4" fontId="81" fillId="33" borderId="39" xfId="0" applyNumberFormat="1" applyFont="1" applyFill="1" applyBorder="1" applyAlignment="1">
      <alignment vertical="center" wrapText="1"/>
    </xf>
    <xf numFmtId="0" fontId="82" fillId="33" borderId="0" xfId="0" applyFont="1" applyFill="1" applyBorder="1" applyAlignment="1">
      <alignment vertical="center"/>
    </xf>
    <xf numFmtId="4" fontId="93" fillId="33" borderId="41" xfId="0" applyNumberFormat="1" applyFont="1" applyFill="1" applyBorder="1" applyAlignment="1">
      <alignment vertical="center" wrapText="1"/>
    </xf>
    <xf numFmtId="0" fontId="94" fillId="33" borderId="42" xfId="0" applyFont="1" applyFill="1" applyBorder="1" applyAlignment="1">
      <alignment vertical="center"/>
    </xf>
    <xf numFmtId="4" fontId="19" fillId="33" borderId="36" xfId="0" applyNumberFormat="1" applyFont="1" applyFill="1" applyBorder="1" applyAlignment="1">
      <alignment horizontal="left" vertical="center" wrapText="1"/>
    </xf>
    <xf numFmtId="4" fontId="19" fillId="33" borderId="32" xfId="0" applyNumberFormat="1" applyFont="1" applyFill="1" applyBorder="1" applyAlignment="1">
      <alignment horizontal="left" vertical="center" wrapText="1"/>
    </xf>
    <xf numFmtId="4" fontId="19" fillId="33" borderId="36" xfId="0" applyNumberFormat="1" applyFont="1" applyFill="1" applyBorder="1" applyAlignment="1">
      <alignment vertical="center" wrapText="1"/>
    </xf>
    <xf numFmtId="4" fontId="19" fillId="33" borderId="32" xfId="0" applyNumberFormat="1" applyFont="1" applyFill="1" applyBorder="1" applyAlignment="1">
      <alignment vertical="center" wrapText="1"/>
    </xf>
    <xf numFmtId="4" fontId="91" fillId="33" borderId="36" xfId="0" applyNumberFormat="1" applyFont="1" applyFill="1" applyBorder="1" applyAlignment="1">
      <alignment horizontal="left" vertical="center" wrapText="1"/>
    </xf>
    <xf numFmtId="4" fontId="91" fillId="33" borderId="32" xfId="0" applyNumberFormat="1" applyFont="1" applyFill="1" applyBorder="1" applyAlignment="1">
      <alignment horizontal="left" vertical="center" wrapText="1"/>
    </xf>
    <xf numFmtId="4" fontId="19" fillId="33" borderId="51" xfId="0" applyNumberFormat="1" applyFont="1" applyFill="1" applyBorder="1" applyAlignment="1">
      <alignment horizontal="left" vertical="center" wrapText="1"/>
    </xf>
    <xf numFmtId="4" fontId="19" fillId="33" borderId="41" xfId="0" applyNumberFormat="1" applyFont="1" applyFill="1" applyBorder="1" applyAlignment="1">
      <alignment horizontal="left" vertical="center" wrapText="1"/>
    </xf>
    <xf numFmtId="4" fontId="19" fillId="33" borderId="46" xfId="0" applyNumberFormat="1" applyFont="1" applyFill="1" applyBorder="1" applyAlignment="1">
      <alignment vertical="center" wrapText="1"/>
    </xf>
    <xf numFmtId="4" fontId="19" fillId="33" borderId="47" xfId="0" applyNumberFormat="1" applyFont="1" applyFill="1" applyBorder="1" applyAlignment="1">
      <alignment vertical="center" wrapText="1"/>
    </xf>
    <xf numFmtId="0" fontId="19" fillId="33" borderId="32" xfId="0" applyFont="1" applyFill="1" applyBorder="1" applyAlignment="1">
      <alignment vertical="center" wrapText="1"/>
    </xf>
    <xf numFmtId="0" fontId="19" fillId="33" borderId="34" xfId="0" applyFont="1" applyFill="1" applyBorder="1" applyAlignment="1">
      <alignment vertical="center" wrapText="1"/>
    </xf>
    <xf numFmtId="4" fontId="4" fillId="33" borderId="41" xfId="0" applyNumberFormat="1" applyFont="1" applyFill="1" applyBorder="1" applyAlignment="1">
      <alignment vertical="center" wrapText="1"/>
    </xf>
    <xf numFmtId="4" fontId="4" fillId="33" borderId="42" xfId="0" applyNumberFormat="1" applyFont="1" applyFill="1" applyBorder="1" applyAlignment="1">
      <alignment vertical="center" wrapText="1"/>
    </xf>
    <xf numFmtId="4" fontId="19" fillId="33" borderId="34" xfId="0" applyNumberFormat="1" applyFont="1" applyFill="1" applyBorder="1" applyAlignment="1">
      <alignment vertical="center" wrapText="1"/>
    </xf>
    <xf numFmtId="4" fontId="4" fillId="33" borderId="32" xfId="0" applyNumberFormat="1" applyFont="1" applyFill="1" applyBorder="1" applyAlignment="1">
      <alignment horizontal="left" vertical="center" wrapText="1"/>
    </xf>
    <xf numFmtId="4" fontId="4" fillId="33" borderId="19" xfId="0" applyNumberFormat="1" applyFont="1" applyFill="1" applyBorder="1" applyAlignment="1">
      <alignment horizontal="left" vertical="center" wrapText="1"/>
    </xf>
    <xf numFmtId="4" fontId="4" fillId="33" borderId="41" xfId="0" applyNumberFormat="1" applyFont="1" applyFill="1" applyBorder="1" applyAlignment="1">
      <alignment horizontal="left" vertical="center" wrapText="1"/>
    </xf>
    <xf numFmtId="4" fontId="4" fillId="33" borderId="42" xfId="0" applyNumberFormat="1" applyFont="1" applyFill="1" applyBorder="1" applyAlignment="1">
      <alignment horizontal="left" vertical="center" wrapText="1"/>
    </xf>
    <xf numFmtId="4" fontId="4" fillId="33" borderId="32" xfId="0" applyNumberFormat="1" applyFont="1" applyFill="1" applyBorder="1" applyAlignment="1">
      <alignment vertical="center" wrapText="1"/>
    </xf>
    <xf numFmtId="4" fontId="4" fillId="33" borderId="19" xfId="0" applyNumberFormat="1" applyFont="1" applyFill="1" applyBorder="1" applyAlignment="1">
      <alignment vertical="center" wrapText="1"/>
    </xf>
    <xf numFmtId="4" fontId="4" fillId="33" borderId="36" xfId="0" applyNumberFormat="1" applyFont="1" applyFill="1" applyBorder="1" applyAlignment="1">
      <alignment vertical="center" wrapText="1"/>
    </xf>
    <xf numFmtId="0" fontId="19" fillId="33" borderId="36" xfId="0" applyFont="1" applyFill="1" applyBorder="1" applyAlignment="1">
      <alignment vertical="center"/>
    </xf>
    <xf numFmtId="4" fontId="4" fillId="33" borderId="52" xfId="0" applyNumberFormat="1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/>
    </xf>
    <xf numFmtId="4" fontId="19" fillId="33" borderId="43" xfId="0" applyNumberFormat="1" applyFont="1" applyFill="1" applyBorder="1" applyAlignment="1">
      <alignment vertical="center" wrapText="1"/>
    </xf>
    <xf numFmtId="4" fontId="19" fillId="33" borderId="33" xfId="0" applyNumberFormat="1" applyFont="1" applyFill="1" applyBorder="1" applyAlignment="1">
      <alignment vertical="center" wrapText="1"/>
    </xf>
    <xf numFmtId="4" fontId="45" fillId="33" borderId="39" xfId="0" applyNumberFormat="1" applyFont="1" applyFill="1" applyBorder="1" applyAlignment="1">
      <alignment vertical="center" wrapText="1"/>
    </xf>
    <xf numFmtId="0" fontId="45" fillId="33" borderId="50" xfId="0" applyFont="1" applyFill="1" applyBorder="1" applyAlignment="1">
      <alignment vertical="center"/>
    </xf>
    <xf numFmtId="4" fontId="91" fillId="33" borderId="36" xfId="0" applyNumberFormat="1" applyFont="1" applyFill="1" applyBorder="1" applyAlignment="1">
      <alignment vertical="center" wrapText="1"/>
    </xf>
    <xf numFmtId="4" fontId="91" fillId="33" borderId="32" xfId="0" applyNumberFormat="1" applyFont="1" applyFill="1" applyBorder="1" applyAlignment="1">
      <alignment vertical="center" wrapText="1"/>
    </xf>
    <xf numFmtId="4" fontId="91" fillId="33" borderId="34" xfId="0" applyNumberFormat="1" applyFont="1" applyFill="1" applyBorder="1" applyAlignment="1">
      <alignment vertical="center" wrapText="1"/>
    </xf>
    <xf numFmtId="4" fontId="82" fillId="33" borderId="41" xfId="0" applyNumberFormat="1" applyFont="1" applyFill="1" applyBorder="1" applyAlignment="1">
      <alignment vertical="center" wrapText="1"/>
    </xf>
    <xf numFmtId="4" fontId="82" fillId="33" borderId="42" xfId="0" applyNumberFormat="1" applyFont="1" applyFill="1" applyBorder="1" applyAlignment="1">
      <alignment vertical="center" wrapText="1"/>
    </xf>
    <xf numFmtId="0" fontId="82" fillId="33" borderId="32" xfId="0" applyFont="1" applyFill="1" applyBorder="1" applyAlignment="1">
      <alignment vertical="center" wrapText="1"/>
    </xf>
    <xf numFmtId="0" fontId="82" fillId="33" borderId="34" xfId="0" applyFont="1" applyFill="1" applyBorder="1" applyAlignment="1">
      <alignment vertical="center" wrapText="1"/>
    </xf>
    <xf numFmtId="4" fontId="82" fillId="33" borderId="36" xfId="0" applyNumberFormat="1" applyFont="1" applyFill="1" applyBorder="1" applyAlignment="1">
      <alignment horizontal="left" vertical="center" wrapText="1"/>
    </xf>
    <xf numFmtId="4" fontId="82" fillId="33" borderId="32" xfId="0" applyNumberFormat="1" applyFont="1" applyFill="1" applyBorder="1" applyAlignment="1">
      <alignment horizontal="left" vertical="center" wrapText="1"/>
    </xf>
    <xf numFmtId="4" fontId="82" fillId="33" borderId="32" xfId="0" applyNumberFormat="1" applyFont="1" applyFill="1" applyBorder="1" applyAlignment="1">
      <alignment vertical="center" wrapText="1"/>
    </xf>
    <xf numFmtId="4" fontId="82" fillId="33" borderId="34" xfId="0" applyNumberFormat="1" applyFont="1" applyFill="1" applyBorder="1" applyAlignment="1">
      <alignment vertical="center" wrapText="1"/>
    </xf>
    <xf numFmtId="4" fontId="82" fillId="33" borderId="43" xfId="0" applyNumberFormat="1" applyFont="1" applyFill="1" applyBorder="1" applyAlignment="1">
      <alignment vertical="center" wrapText="1"/>
    </xf>
    <xf numFmtId="4" fontId="82" fillId="33" borderId="33" xfId="0" applyNumberFormat="1" applyFont="1" applyFill="1" applyBorder="1" applyAlignment="1">
      <alignment vertical="center" wrapText="1"/>
    </xf>
    <xf numFmtId="0" fontId="82" fillId="33" borderId="39" xfId="0" applyFont="1" applyFill="1" applyBorder="1" applyAlignment="1">
      <alignment vertical="center" wrapText="1"/>
    </xf>
    <xf numFmtId="0" fontId="82" fillId="33" borderId="0" xfId="0" applyFont="1" applyFill="1" applyBorder="1" applyAlignment="1">
      <alignment vertical="center" wrapText="1"/>
    </xf>
    <xf numFmtId="4" fontId="81" fillId="33" borderId="52" xfId="0" applyNumberFormat="1" applyFont="1" applyFill="1" applyBorder="1" applyAlignment="1">
      <alignment vertical="center" wrapText="1"/>
    </xf>
    <xf numFmtId="4" fontId="82" fillId="33" borderId="36" xfId="0" applyNumberFormat="1" applyFont="1" applyFill="1" applyBorder="1" applyAlignment="1">
      <alignment vertical="center" wrapText="1"/>
    </xf>
    <xf numFmtId="4" fontId="82" fillId="33" borderId="43" xfId="0" applyNumberFormat="1" applyFont="1" applyFill="1" applyBorder="1" applyAlignment="1">
      <alignment horizontal="left" vertical="center" wrapText="1"/>
    </xf>
    <xf numFmtId="4" fontId="82" fillId="33" borderId="33" xfId="0" applyNumberFormat="1" applyFont="1" applyFill="1" applyBorder="1" applyAlignment="1">
      <alignment horizontal="left" vertical="center" wrapText="1"/>
    </xf>
    <xf numFmtId="4" fontId="82" fillId="33" borderId="34" xfId="0" applyNumberFormat="1" applyFont="1" applyFill="1" applyBorder="1" applyAlignment="1">
      <alignment horizontal="left" vertical="center" wrapText="1"/>
    </xf>
    <xf numFmtId="4" fontId="19" fillId="33" borderId="34" xfId="0" applyNumberFormat="1" applyFont="1" applyFill="1" applyBorder="1" applyAlignment="1">
      <alignment horizontal="left" vertical="center" wrapText="1"/>
    </xf>
    <xf numFmtId="0" fontId="82" fillId="33" borderId="43" xfId="0" applyFont="1" applyFill="1" applyBorder="1" applyAlignment="1">
      <alignment vertical="center" wrapText="1"/>
    </xf>
    <xf numFmtId="0" fontId="82" fillId="33" borderId="33" xfId="0" applyFont="1" applyFill="1" applyBorder="1" applyAlignment="1">
      <alignment vertical="center" wrapText="1"/>
    </xf>
    <xf numFmtId="4" fontId="82" fillId="33" borderId="37" xfId="0" applyNumberFormat="1" applyFont="1" applyFill="1" applyBorder="1" applyAlignment="1">
      <alignment horizontal="left" vertical="center" wrapText="1"/>
    </xf>
    <xf numFmtId="4" fontId="81" fillId="33" borderId="46" xfId="0" applyNumberFormat="1" applyFont="1" applyFill="1" applyBorder="1" applyAlignment="1">
      <alignment horizontal="left" vertical="center" wrapText="1"/>
    </xf>
    <xf numFmtId="4" fontId="93" fillId="33" borderId="46" xfId="0" applyNumberFormat="1" applyFont="1" applyFill="1" applyBorder="1" applyAlignment="1">
      <alignment vertical="center" wrapText="1"/>
    </xf>
    <xf numFmtId="4" fontId="19" fillId="33" borderId="42" xfId="0" applyNumberFormat="1" applyFont="1" applyFill="1" applyBorder="1" applyAlignment="1">
      <alignment horizontal="left" vertical="center" wrapText="1"/>
    </xf>
    <xf numFmtId="0" fontId="19" fillId="33" borderId="43" xfId="0" applyFont="1" applyFill="1" applyBorder="1" applyAlignment="1">
      <alignment vertical="center" wrapText="1"/>
    </xf>
    <xf numFmtId="0" fontId="19" fillId="33" borderId="33" xfId="0" applyFont="1" applyFill="1" applyBorder="1" applyAlignment="1">
      <alignment vertical="center" wrapText="1"/>
    </xf>
    <xf numFmtId="4" fontId="4" fillId="33" borderId="48" xfId="0" applyNumberFormat="1" applyFont="1" applyFill="1" applyBorder="1" applyAlignment="1">
      <alignment horizontal="left" vertical="center" wrapText="1"/>
    </xf>
    <xf numFmtId="4" fontId="4" fillId="33" borderId="49" xfId="0" applyNumberFormat="1" applyFont="1" applyFill="1" applyBorder="1" applyAlignment="1">
      <alignment horizontal="left" vertical="center" wrapText="1"/>
    </xf>
    <xf numFmtId="4" fontId="19" fillId="33" borderId="37" xfId="0" applyNumberFormat="1" applyFont="1" applyFill="1" applyBorder="1" applyAlignment="1">
      <alignment horizontal="left" vertical="center" wrapText="1"/>
    </xf>
    <xf numFmtId="4" fontId="19" fillId="33" borderId="43" xfId="0" applyNumberFormat="1" applyFont="1" applyFill="1" applyBorder="1" applyAlignment="1">
      <alignment horizontal="left" vertical="center" wrapText="1"/>
    </xf>
    <xf numFmtId="4" fontId="4" fillId="33" borderId="51" xfId="0" applyNumberFormat="1" applyFont="1" applyFill="1" applyBorder="1" applyAlignment="1">
      <alignment horizontal="left" vertical="center" wrapText="1"/>
    </xf>
    <xf numFmtId="4" fontId="4" fillId="33" borderId="38" xfId="0" applyNumberFormat="1" applyFont="1" applyFill="1" applyBorder="1" applyAlignment="1">
      <alignment horizontal="left" vertical="center" wrapText="1"/>
    </xf>
    <xf numFmtId="4" fontId="4" fillId="33" borderId="45" xfId="0" applyNumberFormat="1" applyFont="1" applyFill="1" applyBorder="1" applyAlignment="1">
      <alignment horizontal="left" vertical="center" wrapText="1"/>
    </xf>
    <xf numFmtId="1" fontId="5" fillId="0" borderId="0" xfId="0" applyNumberFormat="1" applyFont="1" applyFill="1" applyAlignment="1">
      <alignment horizontal="center" vertical="center"/>
    </xf>
    <xf numFmtId="0" fontId="4" fillId="33" borderId="32" xfId="0" applyFont="1" applyFill="1" applyBorder="1" applyAlignment="1">
      <alignment vertical="center" wrapText="1"/>
    </xf>
    <xf numFmtId="0" fontId="4" fillId="33" borderId="19" xfId="0" applyFont="1" applyFill="1" applyBorder="1" applyAlignment="1">
      <alignment vertical="center" wrapText="1"/>
    </xf>
    <xf numFmtId="4" fontId="4" fillId="33" borderId="52" xfId="0" applyNumberFormat="1" applyFont="1" applyFill="1" applyBorder="1" applyAlignment="1">
      <alignment vertical="center" wrapText="1"/>
    </xf>
    <xf numFmtId="4" fontId="4" fillId="33" borderId="39" xfId="0" applyNumberFormat="1" applyFont="1" applyFill="1" applyBorder="1" applyAlignment="1">
      <alignment vertical="center" wrapText="1"/>
    </xf>
    <xf numFmtId="0" fontId="19" fillId="33" borderId="0" xfId="0" applyFont="1" applyFill="1" applyBorder="1" applyAlignment="1">
      <alignment vertical="center"/>
    </xf>
    <xf numFmtId="4" fontId="45" fillId="33" borderId="41" xfId="0" applyNumberFormat="1" applyFont="1" applyFill="1" applyBorder="1" applyAlignment="1">
      <alignment vertical="center" wrapText="1"/>
    </xf>
    <xf numFmtId="0" fontId="47" fillId="33" borderId="42" xfId="0" applyFont="1" applyFill="1" applyBorder="1" applyAlignment="1">
      <alignment vertical="center"/>
    </xf>
    <xf numFmtId="0" fontId="86" fillId="33" borderId="43" xfId="0" applyFont="1" applyFill="1" applyBorder="1" applyAlignment="1">
      <alignment vertical="center" wrapText="1"/>
    </xf>
    <xf numFmtId="0" fontId="86" fillId="33" borderId="33" xfId="0" applyFont="1" applyFill="1" applyBorder="1" applyAlignment="1">
      <alignment vertical="center" wrapText="1"/>
    </xf>
    <xf numFmtId="4" fontId="86" fillId="33" borderId="36" xfId="0" applyNumberFormat="1" applyFont="1" applyFill="1" applyBorder="1" applyAlignment="1">
      <alignment horizontal="left" vertical="center" wrapText="1"/>
    </xf>
    <xf numFmtId="4" fontId="86" fillId="33" borderId="32" xfId="0" applyNumberFormat="1" applyFont="1" applyFill="1" applyBorder="1" applyAlignment="1">
      <alignment horizontal="left" vertical="center" wrapText="1"/>
    </xf>
    <xf numFmtId="4" fontId="86" fillId="33" borderId="37" xfId="0" applyNumberFormat="1" applyFont="1" applyFill="1" applyBorder="1" applyAlignment="1">
      <alignment horizontal="left" vertical="center" wrapText="1"/>
    </xf>
    <xf numFmtId="4" fontId="86" fillId="33" borderId="43" xfId="0" applyNumberFormat="1" applyFont="1" applyFill="1" applyBorder="1" applyAlignment="1">
      <alignment horizontal="left" vertical="center" wrapText="1"/>
    </xf>
    <xf numFmtId="4" fontId="87" fillId="33" borderId="41" xfId="0" applyNumberFormat="1" applyFont="1" applyFill="1" applyBorder="1" applyAlignment="1">
      <alignment vertical="center" wrapText="1"/>
    </xf>
    <xf numFmtId="4" fontId="87" fillId="33" borderId="42" xfId="0" applyNumberFormat="1" applyFont="1" applyFill="1" applyBorder="1" applyAlignment="1">
      <alignment vertical="center" wrapText="1"/>
    </xf>
    <xf numFmtId="0" fontId="86" fillId="33" borderId="32" xfId="0" applyFont="1" applyFill="1" applyBorder="1" applyAlignment="1">
      <alignment vertical="center" wrapText="1"/>
    </xf>
    <xf numFmtId="0" fontId="86" fillId="33" borderId="34" xfId="0" applyFont="1" applyFill="1" applyBorder="1" applyAlignment="1">
      <alignment vertical="center" wrapText="1"/>
    </xf>
    <xf numFmtId="4" fontId="86" fillId="33" borderId="34" xfId="0" applyNumberFormat="1" applyFont="1" applyFill="1" applyBorder="1" applyAlignment="1">
      <alignment horizontal="left" vertical="center" wrapText="1"/>
    </xf>
    <xf numFmtId="4" fontId="86" fillId="33" borderId="33" xfId="0" applyNumberFormat="1" applyFont="1" applyFill="1" applyBorder="1" applyAlignment="1">
      <alignment horizontal="left" vertical="center" wrapText="1"/>
    </xf>
    <xf numFmtId="4" fontId="87" fillId="33" borderId="51" xfId="0" applyNumberFormat="1" applyFont="1" applyFill="1" applyBorder="1" applyAlignment="1">
      <alignment horizontal="left" vertical="center" wrapText="1"/>
    </xf>
    <xf numFmtId="4" fontId="87" fillId="33" borderId="41" xfId="0" applyNumberFormat="1" applyFont="1" applyFill="1" applyBorder="1" applyAlignment="1">
      <alignment horizontal="left" vertical="center" wrapText="1"/>
    </xf>
    <xf numFmtId="4" fontId="87" fillId="33" borderId="38" xfId="0" applyNumberFormat="1" applyFont="1" applyFill="1" applyBorder="1" applyAlignment="1">
      <alignment horizontal="left" vertical="center" wrapText="1"/>
    </xf>
    <xf numFmtId="4" fontId="87" fillId="33" borderId="45" xfId="0" applyNumberFormat="1" applyFont="1" applyFill="1" applyBorder="1" applyAlignment="1">
      <alignment horizontal="left" vertical="center" wrapText="1"/>
    </xf>
    <xf numFmtId="4" fontId="87" fillId="33" borderId="36" xfId="0" applyNumberFormat="1" applyFont="1" applyFill="1" applyBorder="1" applyAlignment="1">
      <alignment vertical="center" wrapText="1"/>
    </xf>
    <xf numFmtId="4" fontId="87" fillId="33" borderId="32" xfId="0" applyNumberFormat="1" applyFont="1" applyFill="1" applyBorder="1" applyAlignment="1">
      <alignment vertical="center" wrapText="1"/>
    </xf>
    <xf numFmtId="4" fontId="87" fillId="33" borderId="42" xfId="0" applyNumberFormat="1" applyFont="1" applyFill="1" applyBorder="1" applyAlignment="1">
      <alignment horizontal="left" vertical="center" wrapText="1"/>
    </xf>
    <xf numFmtId="4" fontId="87" fillId="33" borderId="46" xfId="0" applyNumberFormat="1" applyFont="1" applyFill="1" applyBorder="1" applyAlignment="1">
      <alignment horizontal="left" vertical="center" wrapText="1"/>
    </xf>
    <xf numFmtId="0" fontId="87" fillId="33" borderId="32" xfId="0" applyFont="1" applyFill="1" applyBorder="1" applyAlignment="1">
      <alignment vertical="center" wrapText="1"/>
    </xf>
    <xf numFmtId="0" fontId="87" fillId="33" borderId="19" xfId="0" applyFont="1" applyFill="1" applyBorder="1" applyAlignment="1">
      <alignment vertical="center" wrapText="1"/>
    </xf>
    <xf numFmtId="4" fontId="87" fillId="33" borderId="52" xfId="0" applyNumberFormat="1" applyFont="1" applyFill="1" applyBorder="1" applyAlignment="1">
      <alignment vertical="center" wrapText="1"/>
    </xf>
    <xf numFmtId="4" fontId="87" fillId="33" borderId="48" xfId="0" applyNumberFormat="1" applyFont="1" applyFill="1" applyBorder="1" applyAlignment="1">
      <alignment vertical="center" wrapText="1"/>
    </xf>
    <xf numFmtId="4" fontId="87" fillId="33" borderId="49" xfId="0" applyNumberFormat="1" applyFont="1" applyFill="1" applyBorder="1" applyAlignment="1">
      <alignment vertical="center" wrapText="1"/>
    </xf>
    <xf numFmtId="4" fontId="95" fillId="33" borderId="41" xfId="0" applyNumberFormat="1" applyFont="1" applyFill="1" applyBorder="1" applyAlignment="1">
      <alignment vertical="center" wrapText="1"/>
    </xf>
    <xf numFmtId="0" fontId="96" fillId="33" borderId="42" xfId="0" applyFont="1" applyFill="1" applyBorder="1" applyAlignment="1">
      <alignment vertical="center"/>
    </xf>
    <xf numFmtId="4" fontId="19" fillId="33" borderId="53" xfId="0" applyNumberFormat="1" applyFont="1" applyFill="1" applyBorder="1" applyAlignment="1">
      <alignment horizontal="left" vertical="center" wrapText="1"/>
    </xf>
    <xf numFmtId="4" fontId="19" fillId="33" borderId="54" xfId="0" applyNumberFormat="1" applyFont="1" applyFill="1" applyBorder="1" applyAlignment="1">
      <alignment horizontal="left" vertical="center" wrapText="1"/>
    </xf>
    <xf numFmtId="0" fontId="81" fillId="33" borderId="32" xfId="0" applyFont="1" applyFill="1" applyBorder="1" applyAlignment="1">
      <alignment vertical="center" wrapText="1"/>
    </xf>
    <xf numFmtId="0" fontId="81" fillId="33" borderId="19" xfId="0" applyFont="1" applyFill="1" applyBorder="1" applyAlignment="1">
      <alignment vertical="center" wrapText="1"/>
    </xf>
    <xf numFmtId="4" fontId="19" fillId="33" borderId="41" xfId="0" applyNumberFormat="1" applyFont="1" applyFill="1" applyBorder="1" applyAlignment="1">
      <alignment vertical="center" wrapText="1"/>
    </xf>
    <xf numFmtId="4" fontId="19" fillId="33" borderId="42" xfId="0" applyNumberFormat="1" applyFont="1" applyFill="1" applyBorder="1" applyAlignment="1">
      <alignment vertical="center" wrapText="1"/>
    </xf>
    <xf numFmtId="4" fontId="81" fillId="33" borderId="47" xfId="0" applyNumberFormat="1" applyFont="1" applyFill="1" applyBorder="1" applyAlignment="1">
      <alignment horizontal="left" vertical="center" wrapText="1"/>
    </xf>
    <xf numFmtId="0" fontId="82" fillId="33" borderId="36" xfId="0" applyFont="1" applyFill="1" applyBorder="1" applyAlignment="1">
      <alignment vertical="center"/>
    </xf>
    <xf numFmtId="0" fontId="94" fillId="33" borderId="47" xfId="0" applyFont="1" applyFill="1" applyBorder="1" applyAlignment="1">
      <alignment vertical="center"/>
    </xf>
    <xf numFmtId="4" fontId="81" fillId="33" borderId="55" xfId="0" applyNumberFormat="1" applyFont="1" applyFill="1" applyBorder="1" applyAlignment="1">
      <alignment horizontal="left" vertical="center" wrapText="1"/>
    </xf>
    <xf numFmtId="4" fontId="4" fillId="0" borderId="32" xfId="0" applyNumberFormat="1" applyFont="1" applyBorder="1" applyAlignment="1">
      <alignment horizontal="left" vertical="center"/>
    </xf>
    <xf numFmtId="4" fontId="4" fillId="0" borderId="19" xfId="0" applyNumberFormat="1" applyFont="1" applyBorder="1" applyAlignment="1">
      <alignment horizontal="left" vertical="center"/>
    </xf>
    <xf numFmtId="4" fontId="19" fillId="33" borderId="41" xfId="0" applyNumberFormat="1" applyFont="1" applyFill="1" applyBorder="1" applyAlignment="1">
      <alignment vertical="center" wrapText="1"/>
    </xf>
    <xf numFmtId="4" fontId="19" fillId="33" borderId="42" xfId="0" applyNumberFormat="1" applyFont="1" applyFill="1" applyBorder="1" applyAlignment="1">
      <alignment vertical="center" wrapText="1"/>
    </xf>
    <xf numFmtId="4" fontId="19" fillId="33" borderId="36" xfId="0" applyNumberFormat="1" applyFont="1" applyFill="1" applyBorder="1" applyAlignment="1">
      <alignment vertical="center" wrapText="1"/>
    </xf>
    <xf numFmtId="4" fontId="19" fillId="33" borderId="32" xfId="0" applyNumberFormat="1" applyFont="1" applyFill="1" applyBorder="1" applyAlignment="1">
      <alignment vertical="center" wrapText="1"/>
    </xf>
    <xf numFmtId="4" fontId="19" fillId="33" borderId="34" xfId="0" applyNumberFormat="1" applyFont="1" applyFill="1" applyBorder="1" applyAlignment="1">
      <alignment vertical="center" wrapText="1"/>
    </xf>
    <xf numFmtId="4" fontId="87" fillId="33" borderId="44" xfId="0" applyNumberFormat="1" applyFont="1" applyFill="1" applyBorder="1" applyAlignment="1">
      <alignment vertical="center" wrapText="1"/>
    </xf>
    <xf numFmtId="0" fontId="86" fillId="33" borderId="19" xfId="0" applyFont="1" applyFill="1" applyBorder="1" applyAlignment="1">
      <alignment vertical="center"/>
    </xf>
    <xf numFmtId="4" fontId="95" fillId="33" borderId="46" xfId="0" applyNumberFormat="1" applyFont="1" applyFill="1" applyBorder="1" applyAlignment="1">
      <alignment vertical="center" wrapText="1"/>
    </xf>
    <xf numFmtId="4" fontId="86" fillId="33" borderId="32" xfId="0" applyNumberFormat="1" applyFont="1" applyFill="1" applyBorder="1" applyAlignment="1">
      <alignment vertical="center" wrapText="1"/>
    </xf>
    <xf numFmtId="4" fontId="86" fillId="33" borderId="34" xfId="0" applyNumberFormat="1" applyFont="1" applyFill="1" applyBorder="1" applyAlignment="1">
      <alignment vertical="center" wrapText="1"/>
    </xf>
    <xf numFmtId="4" fontId="86" fillId="33" borderId="43" xfId="0" applyNumberFormat="1" applyFont="1" applyFill="1" applyBorder="1" applyAlignment="1">
      <alignment vertical="center" wrapText="1"/>
    </xf>
    <xf numFmtId="4" fontId="86" fillId="33" borderId="33" xfId="0" applyNumberFormat="1" applyFont="1" applyFill="1" applyBorder="1" applyAlignment="1">
      <alignment vertical="center" wrapText="1"/>
    </xf>
    <xf numFmtId="4" fontId="87" fillId="33" borderId="48" xfId="0" applyNumberFormat="1" applyFont="1" applyFill="1" applyBorder="1" applyAlignment="1">
      <alignment horizontal="left" vertical="center" wrapText="1"/>
    </xf>
    <xf numFmtId="4" fontId="87" fillId="33" borderId="49" xfId="0" applyNumberFormat="1" applyFont="1" applyFill="1" applyBorder="1" applyAlignment="1">
      <alignment horizontal="left" vertical="center" wrapText="1"/>
    </xf>
    <xf numFmtId="4" fontId="19" fillId="33" borderId="52" xfId="0" applyNumberFormat="1" applyFont="1" applyFill="1" applyBorder="1" applyAlignment="1">
      <alignment vertical="center" wrapText="1"/>
    </xf>
    <xf numFmtId="4" fontId="19" fillId="33" borderId="44" xfId="0" applyNumberFormat="1" applyFont="1" applyFill="1" applyBorder="1" applyAlignment="1">
      <alignment vertical="center" wrapText="1"/>
    </xf>
    <xf numFmtId="4" fontId="81" fillId="0" borderId="32" xfId="0" applyNumberFormat="1" applyFont="1" applyBorder="1" applyAlignment="1">
      <alignment horizontal="center" vertical="center"/>
    </xf>
    <xf numFmtId="4" fontId="81" fillId="0" borderId="19" xfId="0" applyNumberFormat="1" applyFont="1" applyBorder="1" applyAlignment="1">
      <alignment horizontal="center" vertical="center"/>
    </xf>
    <xf numFmtId="4" fontId="81" fillId="33" borderId="44" xfId="0" applyNumberFormat="1" applyFont="1" applyFill="1" applyBorder="1" applyAlignment="1">
      <alignment vertical="center" wrapText="1"/>
    </xf>
    <xf numFmtId="4" fontId="81" fillId="33" borderId="50" xfId="0" applyNumberFormat="1" applyFont="1" applyFill="1" applyBorder="1" applyAlignment="1">
      <alignment vertical="center" wrapText="1"/>
    </xf>
    <xf numFmtId="4" fontId="10" fillId="0" borderId="0" xfId="0" applyNumberFormat="1" applyFont="1" applyAlignment="1">
      <alignment horizontal="center"/>
    </xf>
    <xf numFmtId="4" fontId="10" fillId="0" borderId="0" xfId="0" applyNumberFormat="1" applyFont="1" applyBorder="1" applyAlignment="1">
      <alignment horizontal="center" vertical="center"/>
    </xf>
    <xf numFmtId="4" fontId="19" fillId="0" borderId="32" xfId="0" applyNumberFormat="1" applyFont="1" applyBorder="1" applyAlignment="1">
      <alignment horizontal="center" vertical="center"/>
    </xf>
    <xf numFmtId="4" fontId="19" fillId="0" borderId="19" xfId="0" applyNumberFormat="1" applyFont="1" applyBorder="1" applyAlignment="1">
      <alignment horizontal="center" vertical="center"/>
    </xf>
    <xf numFmtId="4" fontId="19" fillId="33" borderId="33" xfId="0" applyNumberFormat="1" applyFont="1" applyFill="1" applyBorder="1" applyAlignment="1">
      <alignment horizontal="left" vertical="center" wrapText="1"/>
    </xf>
    <xf numFmtId="4" fontId="19" fillId="33" borderId="39" xfId="0" applyNumberFormat="1" applyFont="1" applyFill="1" applyBorder="1" applyAlignment="1">
      <alignment vertical="center" wrapText="1"/>
    </xf>
    <xf numFmtId="0" fontId="19" fillId="33" borderId="0" xfId="0" applyFont="1" applyFill="1" applyBorder="1" applyAlignment="1">
      <alignment vertical="center"/>
    </xf>
    <xf numFmtId="4" fontId="82" fillId="33" borderId="39" xfId="0" applyNumberFormat="1" applyFont="1" applyFill="1" applyBorder="1" applyAlignment="1">
      <alignment vertical="center" wrapText="1"/>
    </xf>
    <xf numFmtId="0" fontId="82" fillId="33" borderId="0" xfId="0" applyFont="1" applyFill="1" applyBorder="1" applyAlignment="1">
      <alignment vertical="center"/>
    </xf>
    <xf numFmtId="4" fontId="19" fillId="33" borderId="52" xfId="0" applyNumberFormat="1" applyFont="1" applyFill="1" applyBorder="1" applyAlignment="1">
      <alignment horizontal="left" vertical="center" wrapText="1"/>
    </xf>
    <xf numFmtId="4" fontId="19" fillId="33" borderId="44" xfId="0" applyNumberFormat="1" applyFont="1" applyFill="1" applyBorder="1" applyAlignment="1">
      <alignment horizontal="left" vertical="center" wrapText="1"/>
    </xf>
    <xf numFmtId="4" fontId="91" fillId="33" borderId="34" xfId="0" applyNumberFormat="1" applyFont="1" applyFill="1" applyBorder="1" applyAlignment="1">
      <alignment horizontal="left" vertical="center" wrapText="1"/>
    </xf>
    <xf numFmtId="4" fontId="19" fillId="33" borderId="51" xfId="0" applyNumberFormat="1" applyFont="1" applyFill="1" applyBorder="1" applyAlignment="1">
      <alignment horizontal="left" vertical="center" wrapText="1"/>
    </xf>
    <xf numFmtId="4" fontId="19" fillId="33" borderId="41" xfId="0" applyNumberFormat="1" applyFont="1" applyFill="1" applyBorder="1" applyAlignment="1">
      <alignment horizontal="left" vertical="center" wrapText="1"/>
    </xf>
    <xf numFmtId="1" fontId="97" fillId="0" borderId="0" xfId="0" applyNumberFormat="1" applyFont="1" applyFill="1" applyAlignment="1">
      <alignment horizontal="center" vertical="center"/>
    </xf>
    <xf numFmtId="4" fontId="87" fillId="33" borderId="39" xfId="0" applyNumberFormat="1" applyFont="1" applyFill="1" applyBorder="1" applyAlignment="1">
      <alignment vertical="center" wrapText="1"/>
    </xf>
    <xf numFmtId="0" fontId="86" fillId="33" borderId="0" xfId="0" applyFont="1" applyFill="1" applyBorder="1" applyAlignment="1">
      <alignment vertical="center"/>
    </xf>
    <xf numFmtId="4" fontId="4" fillId="0" borderId="36" xfId="0" applyNumberFormat="1" applyFont="1" applyBorder="1" applyAlignment="1">
      <alignment horizontal="center" vertical="center"/>
    </xf>
    <xf numFmtId="4" fontId="87" fillId="33" borderId="36" xfId="0" applyNumberFormat="1" applyFont="1" applyFill="1" applyBorder="1" applyAlignment="1">
      <alignment horizontal="left" vertical="center" wrapText="1"/>
    </xf>
    <xf numFmtId="4" fontId="86" fillId="33" borderId="38" xfId="0" applyNumberFormat="1" applyFont="1" applyFill="1" applyBorder="1" applyAlignment="1">
      <alignment horizontal="left" vertical="center" wrapText="1"/>
    </xf>
    <xf numFmtId="4" fontId="86" fillId="33" borderId="45" xfId="0" applyNumberFormat="1" applyFont="1" applyFill="1" applyBorder="1" applyAlignment="1">
      <alignment horizontal="left" vertical="center" wrapText="1"/>
    </xf>
    <xf numFmtId="1" fontId="98" fillId="0" borderId="0" xfId="0" applyNumberFormat="1" applyFont="1" applyFill="1" applyAlignment="1">
      <alignment horizontal="center" vertical="center"/>
    </xf>
    <xf numFmtId="0" fontId="87" fillId="33" borderId="39" xfId="0" applyFont="1" applyFill="1" applyBorder="1" applyAlignment="1">
      <alignment vertical="center" wrapText="1"/>
    </xf>
    <xf numFmtId="0" fontId="87" fillId="33" borderId="0" xfId="0" applyFont="1" applyFill="1" applyBorder="1" applyAlignment="1">
      <alignment vertical="center" wrapText="1"/>
    </xf>
    <xf numFmtId="0" fontId="2" fillId="33" borderId="32" xfId="0" applyFont="1" applyFill="1" applyBorder="1" applyAlignment="1">
      <alignment vertical="center" wrapText="1"/>
    </xf>
    <xf numFmtId="0" fontId="2" fillId="33" borderId="19" xfId="0" applyFont="1" applyFill="1" applyBorder="1" applyAlignment="1">
      <alignment vertical="center" wrapText="1"/>
    </xf>
    <xf numFmtId="4" fontId="5" fillId="33" borderId="46" xfId="0" applyNumberFormat="1" applyFont="1" applyFill="1" applyBorder="1" applyAlignment="1">
      <alignment horizontal="left" vertical="center" wrapText="1"/>
    </xf>
    <xf numFmtId="4" fontId="5" fillId="33" borderId="55" xfId="0" applyNumberFormat="1" applyFont="1" applyFill="1" applyBorder="1" applyAlignment="1">
      <alignment horizontal="left" vertical="center" wrapText="1"/>
    </xf>
    <xf numFmtId="0" fontId="2" fillId="33" borderId="45" xfId="0" applyFont="1" applyFill="1" applyBorder="1" applyAlignment="1">
      <alignment vertical="center" wrapText="1"/>
    </xf>
    <xf numFmtId="0" fontId="2" fillId="33" borderId="21" xfId="0" applyFont="1" applyFill="1" applyBorder="1" applyAlignment="1">
      <alignment vertical="center" wrapText="1"/>
    </xf>
    <xf numFmtId="4" fontId="2" fillId="33" borderId="36" xfId="0" applyNumberFormat="1" applyFont="1" applyFill="1" applyBorder="1" applyAlignment="1">
      <alignment horizontal="left" vertical="center" wrapText="1"/>
    </xf>
    <xf numFmtId="4" fontId="2" fillId="33" borderId="37" xfId="0" applyNumberFormat="1" applyFont="1" applyFill="1" applyBorder="1" applyAlignment="1">
      <alignment horizontal="left" vertical="center" wrapText="1"/>
    </xf>
    <xf numFmtId="4" fontId="5" fillId="33" borderId="41" xfId="0" applyNumberFormat="1" applyFont="1" applyFill="1" applyBorder="1" applyAlignment="1">
      <alignment vertical="center" wrapText="1"/>
    </xf>
    <xf numFmtId="4" fontId="5" fillId="33" borderId="42" xfId="0" applyNumberFormat="1" applyFont="1" applyFill="1" applyBorder="1" applyAlignment="1">
      <alignment vertical="center" wrapText="1"/>
    </xf>
    <xf numFmtId="4" fontId="2" fillId="33" borderId="32" xfId="0" applyNumberFormat="1" applyFont="1" applyFill="1" applyBorder="1" applyAlignment="1">
      <alignment horizontal="left" vertical="center" wrapText="1"/>
    </xf>
    <xf numFmtId="4" fontId="2" fillId="33" borderId="19" xfId="0" applyNumberFormat="1" applyFont="1" applyFill="1" applyBorder="1" applyAlignment="1">
      <alignment horizontal="left" vertical="center" wrapText="1"/>
    </xf>
    <xf numFmtId="4" fontId="5" fillId="33" borderId="56" xfId="0" applyNumberFormat="1" applyFont="1" applyFill="1" applyBorder="1" applyAlignment="1">
      <alignment vertical="center" wrapText="1"/>
    </xf>
    <xf numFmtId="0" fontId="2" fillId="33" borderId="43" xfId="0" applyFont="1" applyFill="1" applyBorder="1" applyAlignment="1">
      <alignment vertical="center" wrapText="1"/>
    </xf>
    <xf numFmtId="0" fontId="2" fillId="33" borderId="18" xfId="0" applyFont="1" applyFill="1" applyBorder="1" applyAlignment="1">
      <alignment vertical="center" wrapText="1"/>
    </xf>
    <xf numFmtId="4" fontId="5" fillId="33" borderId="41" xfId="0" applyNumberFormat="1" applyFont="1" applyFill="1" applyBorder="1" applyAlignment="1">
      <alignment horizontal="left" vertical="center" wrapText="1"/>
    </xf>
    <xf numFmtId="4" fontId="5" fillId="33" borderId="56" xfId="0" applyNumberFormat="1" applyFont="1" applyFill="1" applyBorder="1" applyAlignment="1">
      <alignment horizontal="left" vertical="center" wrapText="1"/>
    </xf>
    <xf numFmtId="4" fontId="2" fillId="33" borderId="32" xfId="0" applyNumberFormat="1" applyFont="1" applyFill="1" applyBorder="1" applyAlignment="1">
      <alignment vertical="center" wrapText="1"/>
    </xf>
    <xf numFmtId="4" fontId="2" fillId="33" borderId="19" xfId="0" applyNumberFormat="1" applyFont="1" applyFill="1" applyBorder="1" applyAlignment="1">
      <alignment vertical="center" wrapText="1"/>
    </xf>
    <xf numFmtId="4" fontId="2" fillId="33" borderId="43" xfId="0" applyNumberFormat="1" applyFont="1" applyFill="1" applyBorder="1" applyAlignment="1">
      <alignment vertical="center" wrapText="1"/>
    </xf>
    <xf numFmtId="4" fontId="2" fillId="33" borderId="18" xfId="0" applyNumberFormat="1" applyFont="1" applyFill="1" applyBorder="1" applyAlignment="1">
      <alignment vertical="center" wrapText="1"/>
    </xf>
    <xf numFmtId="4" fontId="6" fillId="33" borderId="36" xfId="0" applyNumberFormat="1" applyFont="1" applyFill="1" applyBorder="1" applyAlignment="1">
      <alignment vertical="center" wrapText="1"/>
    </xf>
    <xf numFmtId="4" fontId="2" fillId="33" borderId="36" xfId="0" applyNumberFormat="1" applyFont="1" applyFill="1" applyBorder="1" applyAlignment="1">
      <alignment vertical="center" wrapText="1"/>
    </xf>
    <xf numFmtId="4" fontId="5" fillId="33" borderId="51" xfId="0" applyNumberFormat="1" applyFont="1" applyFill="1" applyBorder="1" applyAlignment="1">
      <alignment horizontal="left" vertical="center" wrapText="1"/>
    </xf>
    <xf numFmtId="4" fontId="6" fillId="33" borderId="38" xfId="0" applyNumberFormat="1" applyFont="1" applyFill="1" applyBorder="1" applyAlignment="1">
      <alignment horizontal="left" vertical="center" wrapText="1"/>
    </xf>
    <xf numFmtId="4" fontId="2" fillId="33" borderId="43" xfId="0" applyNumberFormat="1" applyFont="1" applyFill="1" applyBorder="1" applyAlignment="1">
      <alignment horizontal="left" vertical="center" wrapText="1"/>
    </xf>
    <xf numFmtId="4" fontId="2" fillId="33" borderId="18" xfId="0" applyNumberFormat="1" applyFont="1" applyFill="1" applyBorder="1" applyAlignment="1">
      <alignment horizontal="left" vertical="center" wrapText="1"/>
    </xf>
    <xf numFmtId="4" fontId="16" fillId="33" borderId="43" xfId="0" applyNumberFormat="1" applyFont="1" applyFill="1" applyBorder="1" applyAlignment="1">
      <alignment vertical="center" wrapText="1"/>
    </xf>
    <xf numFmtId="4" fontId="16" fillId="33" borderId="18" xfId="0" applyNumberFormat="1" applyFont="1" applyFill="1" applyBorder="1" applyAlignment="1">
      <alignment vertical="center" wrapText="1"/>
    </xf>
    <xf numFmtId="4" fontId="17" fillId="33" borderId="32" xfId="0" applyNumberFormat="1" applyFont="1" applyFill="1" applyBorder="1" applyAlignment="1">
      <alignment vertical="center" wrapText="1"/>
    </xf>
    <xf numFmtId="4" fontId="17" fillId="33" borderId="19" xfId="0" applyNumberFormat="1" applyFont="1" applyFill="1" applyBorder="1" applyAlignment="1">
      <alignment vertical="center" wrapText="1"/>
    </xf>
    <xf numFmtId="4" fontId="15" fillId="33" borderId="36" xfId="0" applyNumberFormat="1" applyFont="1" applyFill="1" applyBorder="1" applyAlignment="1">
      <alignment vertical="center" wrapText="1"/>
    </xf>
    <xf numFmtId="4" fontId="5" fillId="33" borderId="39" xfId="0" applyNumberFormat="1" applyFont="1" applyFill="1" applyBorder="1" applyAlignment="1">
      <alignment vertical="center" wrapText="1"/>
    </xf>
    <xf numFmtId="0" fontId="10" fillId="33" borderId="20" xfId="0" applyFont="1" applyFill="1" applyBorder="1" applyAlignment="1">
      <alignment vertical="center"/>
    </xf>
    <xf numFmtId="4" fontId="12" fillId="33" borderId="41" xfId="0" applyNumberFormat="1" applyFont="1" applyFill="1" applyBorder="1" applyAlignment="1">
      <alignment vertical="center" wrapText="1"/>
    </xf>
    <xf numFmtId="0" fontId="13" fillId="33" borderId="56" xfId="0" applyFont="1" applyFill="1" applyBorder="1" applyAlignment="1">
      <alignment vertical="center"/>
    </xf>
    <xf numFmtId="4" fontId="3" fillId="33" borderId="41" xfId="0" applyNumberFormat="1" applyFont="1" applyFill="1" applyBorder="1" applyAlignment="1">
      <alignment horizontal="center" vertical="center" wrapText="1"/>
    </xf>
    <xf numFmtId="4" fontId="3" fillId="33" borderId="42" xfId="0" applyNumberFormat="1" applyFont="1" applyFill="1" applyBorder="1" applyAlignment="1">
      <alignment horizontal="center" vertical="center" wrapText="1"/>
    </xf>
    <xf numFmtId="4" fontId="4" fillId="33" borderId="38" xfId="0" applyNumberFormat="1" applyFont="1" applyFill="1" applyBorder="1" applyAlignment="1">
      <alignment vertical="center" wrapText="1"/>
    </xf>
    <xf numFmtId="4" fontId="15" fillId="33" borderId="32" xfId="0" applyNumberFormat="1" applyFont="1" applyFill="1" applyBorder="1" applyAlignment="1">
      <alignment vertical="center" wrapText="1"/>
    </xf>
    <xf numFmtId="4" fontId="15" fillId="33" borderId="19" xfId="0" applyNumberFormat="1" applyFont="1" applyFill="1" applyBorder="1" applyAlignment="1">
      <alignment vertical="center" wrapText="1"/>
    </xf>
    <xf numFmtId="0" fontId="5" fillId="33" borderId="39" xfId="0" applyFont="1" applyFill="1" applyBorder="1" applyAlignment="1">
      <alignment vertical="center" wrapText="1"/>
    </xf>
    <xf numFmtId="0" fontId="5" fillId="33" borderId="20" xfId="0" applyFont="1" applyFill="1" applyBorder="1" applyAlignment="1">
      <alignment vertical="center" wrapText="1"/>
    </xf>
    <xf numFmtId="4" fontId="9" fillId="33" borderId="51" xfId="0" applyNumberFormat="1" applyFont="1" applyFill="1" applyBorder="1" applyAlignment="1">
      <alignment vertical="center" wrapText="1"/>
    </xf>
    <xf numFmtId="4" fontId="18" fillId="33" borderId="32" xfId="0" applyNumberFormat="1" applyFont="1" applyFill="1" applyBorder="1" applyAlignment="1">
      <alignment vertical="center" wrapText="1"/>
    </xf>
    <xf numFmtId="4" fontId="18" fillId="33" borderId="19" xfId="0" applyNumberFormat="1" applyFont="1" applyFill="1" applyBorder="1" applyAlignment="1">
      <alignment vertical="center" wrapText="1"/>
    </xf>
    <xf numFmtId="4" fontId="16" fillId="33" borderId="32" xfId="0" applyNumberFormat="1" applyFont="1" applyFill="1" applyBorder="1" applyAlignment="1">
      <alignment vertical="center" wrapText="1"/>
    </xf>
    <xf numFmtId="4" fontId="16" fillId="33" borderId="19" xfId="0" applyNumberFormat="1" applyFont="1" applyFill="1" applyBorder="1" applyAlignment="1">
      <alignment vertical="center" wrapText="1"/>
    </xf>
    <xf numFmtId="4" fontId="16" fillId="33" borderId="36" xfId="0" applyNumberFormat="1" applyFont="1" applyFill="1" applyBorder="1" applyAlignment="1">
      <alignment vertical="center" wrapText="1"/>
    </xf>
    <xf numFmtId="4" fontId="17" fillId="33" borderId="36" xfId="0" applyNumberFormat="1" applyFont="1" applyFill="1" applyBorder="1" applyAlignment="1">
      <alignment vertical="center" wrapText="1"/>
    </xf>
    <xf numFmtId="4" fontId="17" fillId="33" borderId="45" xfId="0" applyNumberFormat="1" applyFont="1" applyFill="1" applyBorder="1" applyAlignment="1">
      <alignment vertical="center" wrapText="1"/>
    </xf>
    <xf numFmtId="4" fontId="17" fillId="33" borderId="21" xfId="0" applyNumberFormat="1" applyFont="1" applyFill="1" applyBorder="1" applyAlignment="1">
      <alignment vertical="center" wrapText="1"/>
    </xf>
    <xf numFmtId="4" fontId="12" fillId="33" borderId="44" xfId="0" applyNumberFormat="1" applyFont="1" applyFill="1" applyBorder="1" applyAlignment="1">
      <alignment vertical="center" wrapText="1"/>
    </xf>
    <xf numFmtId="0" fontId="13" fillId="33" borderId="57" xfId="0" applyFont="1" applyFill="1" applyBorder="1" applyAlignment="1">
      <alignment vertical="center"/>
    </xf>
    <xf numFmtId="4" fontId="21" fillId="33" borderId="46" xfId="0" applyNumberFormat="1" applyFont="1" applyFill="1" applyBorder="1" applyAlignment="1">
      <alignment vertical="center" wrapText="1"/>
    </xf>
    <xf numFmtId="0" fontId="22" fillId="33" borderId="55" xfId="0" applyFont="1" applyFill="1" applyBorder="1" applyAlignment="1">
      <alignment vertical="center"/>
    </xf>
    <xf numFmtId="4" fontId="3" fillId="0" borderId="0" xfId="0" applyNumberFormat="1" applyFont="1" applyAlignment="1">
      <alignment horizontal="center" vertical="center"/>
    </xf>
    <xf numFmtId="4" fontId="3" fillId="0" borderId="0" xfId="0" applyNumberFormat="1" applyFont="1" applyAlignment="1">
      <alignment horizontal="center"/>
    </xf>
    <xf numFmtId="4" fontId="3" fillId="0" borderId="0" xfId="0" applyNumberFormat="1" applyFont="1" applyBorder="1" applyAlignment="1">
      <alignment horizontal="center" vertical="center"/>
    </xf>
    <xf numFmtId="4" fontId="3" fillId="0" borderId="32" xfId="0" applyNumberFormat="1" applyFont="1" applyBorder="1" applyAlignment="1">
      <alignment horizontal="center" vertical="center"/>
    </xf>
    <xf numFmtId="4" fontId="3" fillId="0" borderId="19" xfId="0" applyNumberFormat="1" applyFont="1" applyBorder="1" applyAlignment="1">
      <alignment horizontal="center" vertical="center"/>
    </xf>
    <xf numFmtId="4" fontId="17" fillId="33" borderId="43" xfId="0" applyNumberFormat="1" applyFont="1" applyFill="1" applyBorder="1" applyAlignment="1">
      <alignment vertical="center" wrapText="1"/>
    </xf>
    <xf numFmtId="4" fontId="17" fillId="33" borderId="18" xfId="0" applyNumberFormat="1" applyFont="1" applyFill="1" applyBorder="1" applyAlignment="1">
      <alignment vertical="center" wrapText="1"/>
    </xf>
    <xf numFmtId="4" fontId="2" fillId="33" borderId="37" xfId="0" applyNumberFormat="1" applyFont="1" applyFill="1" applyBorder="1" applyAlignment="1">
      <alignment vertical="center" wrapText="1"/>
    </xf>
    <xf numFmtId="0" fontId="29" fillId="0" borderId="0" xfId="0" applyFont="1" applyAlignment="1">
      <alignment horizontal="center"/>
    </xf>
    <xf numFmtId="0" fontId="34" fillId="33" borderId="32" xfId="0" applyFont="1" applyFill="1" applyBorder="1" applyAlignment="1">
      <alignment vertical="center"/>
    </xf>
    <xf numFmtId="0" fontId="0" fillId="0" borderId="34" xfId="0" applyBorder="1" applyAlignment="1">
      <alignment/>
    </xf>
    <xf numFmtId="0" fontId="0" fillId="0" borderId="40" xfId="0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styles" Target="styles.xml" /><Relationship Id="rId40" Type="http://schemas.openxmlformats.org/officeDocument/2006/relationships/sharedStrings" Target="sharedStrings.xml" /><Relationship Id="rId4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5"/>
  <sheetViews>
    <sheetView zoomScalePageLayoutView="0" workbookViewId="0" topLeftCell="A1">
      <selection activeCell="A3" sqref="A3:D3"/>
    </sheetView>
  </sheetViews>
  <sheetFormatPr defaultColWidth="9.140625" defaultRowHeight="15"/>
  <cols>
    <col min="1" max="1" width="80.8515625" style="0" customWidth="1"/>
    <col min="2" max="2" width="3.28125" style="0" hidden="1" customWidth="1"/>
    <col min="3" max="3" width="22.140625" style="0" customWidth="1"/>
  </cols>
  <sheetData>
    <row r="1" spans="1:4" ht="15.75">
      <c r="A1" s="381" t="s">
        <v>959</v>
      </c>
      <c r="B1" s="381"/>
      <c r="C1" s="381"/>
      <c r="D1" s="381"/>
    </row>
    <row r="2" spans="1:4" ht="15.75">
      <c r="A2" s="382" t="s">
        <v>459</v>
      </c>
      <c r="B2" s="382"/>
      <c r="C2" s="382"/>
      <c r="D2" s="382"/>
    </row>
    <row r="3" spans="1:4" s="55" customFormat="1" ht="15.75">
      <c r="A3" s="382" t="s">
        <v>558</v>
      </c>
      <c r="B3" s="382"/>
      <c r="C3" s="382"/>
      <c r="D3" s="382"/>
    </row>
    <row r="4" spans="1:4" s="55" customFormat="1" ht="15.75">
      <c r="A4" s="96"/>
      <c r="B4" s="96"/>
      <c r="C4" s="89"/>
      <c r="D4" s="89"/>
    </row>
    <row r="5" spans="1:4" ht="30">
      <c r="A5" s="383" t="s">
        <v>229</v>
      </c>
      <c r="B5" s="384"/>
      <c r="C5" s="86" t="s">
        <v>240</v>
      </c>
      <c r="D5" s="85" t="s">
        <v>530</v>
      </c>
    </row>
    <row r="6" spans="1:4" ht="15">
      <c r="A6" s="383" t="s">
        <v>229</v>
      </c>
      <c r="B6" s="384"/>
      <c r="C6" s="73"/>
      <c r="D6" s="73"/>
    </row>
    <row r="7" spans="1:4" ht="15.75" thickBot="1">
      <c r="A7" s="379" t="s">
        <v>0</v>
      </c>
      <c r="B7" s="380"/>
      <c r="C7" s="76"/>
      <c r="D7" s="76"/>
    </row>
    <row r="8" spans="1:4" ht="15.75" thickBot="1">
      <c r="A8" s="375" t="s">
        <v>29</v>
      </c>
      <c r="B8" s="376"/>
      <c r="C8" s="77"/>
      <c r="D8" s="77"/>
    </row>
    <row r="9" spans="1:4" ht="15.75" thickBot="1">
      <c r="A9" s="377" t="s">
        <v>56</v>
      </c>
      <c r="B9" s="378"/>
      <c r="C9" s="77"/>
      <c r="D9" s="77"/>
    </row>
    <row r="10" spans="1:4" ht="15.75" thickBot="1">
      <c r="A10" s="375" t="s">
        <v>57</v>
      </c>
      <c r="B10" s="376"/>
      <c r="C10" s="77"/>
      <c r="D10" s="77"/>
    </row>
    <row r="11" spans="1:4" ht="15.75" thickBot="1">
      <c r="A11" s="387" t="s">
        <v>64</v>
      </c>
      <c r="B11" s="377"/>
      <c r="C11" s="77"/>
      <c r="D11" s="77"/>
    </row>
    <row r="12" spans="1:4" ht="15">
      <c r="A12" s="388" t="s">
        <v>66</v>
      </c>
      <c r="B12" s="389"/>
      <c r="C12" s="77"/>
      <c r="D12" s="77"/>
    </row>
    <row r="13" spans="1:4" ht="15" customHeight="1">
      <c r="A13" s="87" t="s">
        <v>940</v>
      </c>
      <c r="B13" s="140"/>
      <c r="C13" s="181" t="s">
        <v>369</v>
      </c>
      <c r="D13" s="199">
        <f>0.5+0.5</f>
        <v>1</v>
      </c>
    </row>
    <row r="14" spans="1:4" ht="15">
      <c r="A14" s="60" t="s">
        <v>68</v>
      </c>
      <c r="B14" s="61"/>
      <c r="C14" s="77"/>
      <c r="D14" s="77"/>
    </row>
    <row r="15" spans="1:4" ht="15">
      <c r="A15" s="390" t="s">
        <v>90</v>
      </c>
      <c r="B15" s="391"/>
      <c r="C15" s="77"/>
      <c r="D15" s="77"/>
    </row>
    <row r="16" spans="1:4" ht="15">
      <c r="A16" s="90" t="s">
        <v>934</v>
      </c>
      <c r="B16" s="91"/>
      <c r="C16" s="72"/>
      <c r="D16" s="72">
        <f>350+260</f>
        <v>610</v>
      </c>
    </row>
    <row r="17" spans="1:4" ht="15">
      <c r="A17" s="90" t="s">
        <v>935</v>
      </c>
      <c r="B17" s="91"/>
      <c r="C17" s="72"/>
      <c r="D17" s="72">
        <v>103.8</v>
      </c>
    </row>
    <row r="18" spans="1:4" ht="28.5">
      <c r="A18" s="90" t="s">
        <v>938</v>
      </c>
      <c r="B18" s="91"/>
      <c r="C18" s="72" t="s">
        <v>279</v>
      </c>
      <c r="D18" s="77">
        <f>350+130</f>
        <v>480</v>
      </c>
    </row>
    <row r="19" spans="1:4" s="73" customFormat="1" ht="15">
      <c r="A19" s="228" t="s">
        <v>939</v>
      </c>
      <c r="B19" s="116"/>
      <c r="C19" s="72" t="s">
        <v>279</v>
      </c>
      <c r="D19" s="72">
        <f>350+0.5*130</f>
        <v>415</v>
      </c>
    </row>
    <row r="20" spans="1:4" s="73" customFormat="1" ht="15">
      <c r="A20" s="186" t="s">
        <v>946</v>
      </c>
      <c r="B20" s="91"/>
      <c r="C20" s="72" t="s">
        <v>947</v>
      </c>
      <c r="D20" s="72">
        <v>6</v>
      </c>
    </row>
    <row r="21" spans="1:4" s="73" customFormat="1" ht="15">
      <c r="A21" s="90" t="s">
        <v>949</v>
      </c>
      <c r="B21" s="91"/>
      <c r="C21" s="72" t="s">
        <v>950</v>
      </c>
      <c r="D21" s="72">
        <v>6</v>
      </c>
    </row>
    <row r="22" spans="1:4" s="73" customFormat="1" ht="28.5">
      <c r="A22" s="90" t="s">
        <v>951</v>
      </c>
      <c r="B22" s="91"/>
      <c r="C22" s="72" t="s">
        <v>952</v>
      </c>
      <c r="D22" s="72">
        <v>3</v>
      </c>
    </row>
    <row r="23" spans="1:4" s="73" customFormat="1" ht="15">
      <c r="A23" s="90" t="s">
        <v>953</v>
      </c>
      <c r="B23" s="91"/>
      <c r="C23" s="72" t="s">
        <v>952</v>
      </c>
      <c r="D23" s="72">
        <v>12</v>
      </c>
    </row>
    <row r="24" spans="1:4" s="73" customFormat="1" ht="28.5">
      <c r="A24" s="90" t="s">
        <v>954</v>
      </c>
      <c r="B24" s="91"/>
      <c r="C24" s="72" t="s">
        <v>955</v>
      </c>
      <c r="D24" s="72">
        <v>6</v>
      </c>
    </row>
    <row r="25" spans="1:5" ht="15">
      <c r="A25" s="90" t="s">
        <v>956</v>
      </c>
      <c r="B25" s="70"/>
      <c r="C25" s="72" t="s">
        <v>279</v>
      </c>
      <c r="D25" s="72">
        <v>2</v>
      </c>
      <c r="E25" s="73"/>
    </row>
    <row r="26" spans="1:4" s="73" customFormat="1" ht="15.75" thickBot="1">
      <c r="A26" s="90" t="s">
        <v>958</v>
      </c>
      <c r="B26" s="91"/>
      <c r="C26" s="72" t="s">
        <v>279</v>
      </c>
      <c r="D26" s="72">
        <v>2</v>
      </c>
    </row>
    <row r="27" spans="1:4" ht="15.75" thickBot="1">
      <c r="A27" s="377" t="s">
        <v>99</v>
      </c>
      <c r="B27" s="378"/>
      <c r="C27" s="77"/>
      <c r="D27" s="77"/>
    </row>
    <row r="28" spans="1:4" ht="15.75" thickBot="1">
      <c r="A28" s="392" t="s">
        <v>100</v>
      </c>
      <c r="B28" s="393"/>
      <c r="C28" s="77"/>
      <c r="D28" s="77"/>
    </row>
    <row r="29" spans="1:4" ht="15">
      <c r="A29" s="385" t="s">
        <v>101</v>
      </c>
      <c r="B29" s="386"/>
      <c r="C29" s="77"/>
      <c r="D29" s="77"/>
    </row>
    <row r="30" spans="1:4" ht="15">
      <c r="A30" s="390" t="s">
        <v>102</v>
      </c>
      <c r="B30" s="390"/>
      <c r="C30" s="77"/>
      <c r="D30" s="77"/>
    </row>
    <row r="31" spans="1:4" ht="15">
      <c r="A31" s="90" t="s">
        <v>936</v>
      </c>
      <c r="B31" s="91"/>
      <c r="C31" s="72" t="s">
        <v>243</v>
      </c>
      <c r="D31" s="72">
        <f>1.5*130+175</f>
        <v>370</v>
      </c>
    </row>
    <row r="32" spans="1:4" ht="15">
      <c r="A32" s="90" t="s">
        <v>937</v>
      </c>
      <c r="B32" s="91"/>
      <c r="C32" s="72" t="s">
        <v>243</v>
      </c>
      <c r="D32" s="72">
        <f>350+130</f>
        <v>480</v>
      </c>
    </row>
    <row r="33" spans="1:4" s="73" customFormat="1" ht="15">
      <c r="A33" s="228" t="s">
        <v>942</v>
      </c>
      <c r="B33" s="228"/>
      <c r="C33" s="72" t="s">
        <v>243</v>
      </c>
      <c r="D33" s="72">
        <v>1</v>
      </c>
    </row>
    <row r="34" spans="1:4" ht="15">
      <c r="A34" s="225"/>
      <c r="B34" s="70"/>
      <c r="C34" s="77"/>
      <c r="D34" s="77"/>
    </row>
    <row r="35" spans="1:4" ht="15">
      <c r="A35" s="225"/>
      <c r="B35" s="70"/>
      <c r="C35" s="77"/>
      <c r="D35" s="77"/>
    </row>
    <row r="36" spans="1:4" s="73" customFormat="1" ht="15">
      <c r="A36" s="97" t="s">
        <v>559</v>
      </c>
      <c r="B36" s="97"/>
      <c r="C36" s="72" t="s">
        <v>243</v>
      </c>
      <c r="D36" s="72">
        <v>2</v>
      </c>
    </row>
    <row r="37" spans="1:4" s="73" customFormat="1" ht="15">
      <c r="A37" s="113" t="s">
        <v>585</v>
      </c>
      <c r="B37" s="113"/>
      <c r="C37" s="72" t="s">
        <v>243</v>
      </c>
      <c r="D37" s="72">
        <v>1.5</v>
      </c>
    </row>
    <row r="38" spans="1:4" s="73" customFormat="1" ht="15">
      <c r="A38" s="119" t="s">
        <v>634</v>
      </c>
      <c r="B38" s="116"/>
      <c r="C38" s="72" t="s">
        <v>243</v>
      </c>
      <c r="D38" s="72">
        <v>1</v>
      </c>
    </row>
    <row r="39" spans="1:4" s="73" customFormat="1" ht="15">
      <c r="A39" s="228" t="s">
        <v>944</v>
      </c>
      <c r="B39" s="228"/>
      <c r="C39" s="72" t="s">
        <v>243</v>
      </c>
      <c r="D39" s="72">
        <v>1</v>
      </c>
    </row>
    <row r="40" spans="1:4" s="73" customFormat="1" ht="15">
      <c r="A40" s="228" t="s">
        <v>945</v>
      </c>
      <c r="B40" s="228"/>
      <c r="C40" s="72" t="s">
        <v>243</v>
      </c>
      <c r="D40" s="72">
        <v>1.5</v>
      </c>
    </row>
    <row r="41" spans="1:4" s="73" customFormat="1" ht="15">
      <c r="A41" s="228" t="s">
        <v>948</v>
      </c>
      <c r="B41" s="228"/>
      <c r="C41" s="72" t="s">
        <v>243</v>
      </c>
      <c r="D41" s="72">
        <v>1</v>
      </c>
    </row>
    <row r="42" spans="1:4" s="73" customFormat="1" ht="28.5">
      <c r="A42" s="228" t="s">
        <v>957</v>
      </c>
      <c r="B42" s="228"/>
      <c r="C42" s="72" t="s">
        <v>243</v>
      </c>
      <c r="D42" s="72">
        <v>1</v>
      </c>
    </row>
    <row r="43" spans="1:4" ht="15.75" thickBot="1">
      <c r="A43" s="395" t="s">
        <v>410</v>
      </c>
      <c r="B43" s="396"/>
      <c r="C43" s="77"/>
      <c r="D43" s="77"/>
    </row>
    <row r="44" spans="1:4" ht="15.75" thickBot="1">
      <c r="A44" s="397" t="s">
        <v>104</v>
      </c>
      <c r="B44" s="398"/>
      <c r="C44" s="77"/>
      <c r="D44" s="77"/>
    </row>
    <row r="45" spans="1:4" ht="15">
      <c r="A45" s="79"/>
      <c r="B45" s="79"/>
      <c r="C45" s="76"/>
      <c r="D45" s="76"/>
    </row>
    <row r="46" spans="1:4" ht="15.75">
      <c r="A46" s="394" t="s">
        <v>233</v>
      </c>
      <c r="B46" s="394"/>
      <c r="C46" s="394"/>
      <c r="D46" s="394"/>
    </row>
    <row r="47" spans="1:4" ht="15">
      <c r="A47" s="76"/>
      <c r="B47" s="76"/>
      <c r="C47" s="76"/>
      <c r="D47" s="76"/>
    </row>
    <row r="48" spans="1:4" ht="15.75">
      <c r="A48" s="394" t="s">
        <v>234</v>
      </c>
      <c r="B48" s="394"/>
      <c r="C48" s="394"/>
      <c r="D48" s="394"/>
    </row>
    <row r="49" spans="1:4" ht="15">
      <c r="A49" s="76"/>
      <c r="B49" s="76"/>
      <c r="C49" s="76"/>
      <c r="D49" s="76"/>
    </row>
    <row r="53" ht="15">
      <c r="A53" t="s">
        <v>933</v>
      </c>
    </row>
    <row r="54" ht="15">
      <c r="A54" t="s">
        <v>941</v>
      </c>
    </row>
    <row r="55" ht="15">
      <c r="A55" t="s">
        <v>943</v>
      </c>
    </row>
  </sheetData>
  <sheetProtection/>
  <mergeCells count="20">
    <mergeCell ref="A46:D46"/>
    <mergeCell ref="A48:D48"/>
    <mergeCell ref="A30:B30"/>
    <mergeCell ref="A43:B43"/>
    <mergeCell ref="A44:B44"/>
    <mergeCell ref="A29:B29"/>
    <mergeCell ref="A11:B11"/>
    <mergeCell ref="A12:B12"/>
    <mergeCell ref="A15:B15"/>
    <mergeCell ref="A27:B27"/>
    <mergeCell ref="A28:B28"/>
    <mergeCell ref="A8:B8"/>
    <mergeCell ref="A9:B9"/>
    <mergeCell ref="A10:B10"/>
    <mergeCell ref="A7:B7"/>
    <mergeCell ref="A1:D1"/>
    <mergeCell ref="A2:D2"/>
    <mergeCell ref="A3:D3"/>
    <mergeCell ref="A5:B5"/>
    <mergeCell ref="A6:B6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91"/>
  <sheetViews>
    <sheetView zoomScalePageLayoutView="0" workbookViewId="0" topLeftCell="A46">
      <selection activeCell="I56" sqref="I56"/>
    </sheetView>
  </sheetViews>
  <sheetFormatPr defaultColWidth="9.140625" defaultRowHeight="15"/>
  <cols>
    <col min="1" max="1" width="80.8515625" style="0" customWidth="1"/>
    <col min="2" max="2" width="3.28125" style="0" hidden="1" customWidth="1"/>
    <col min="3" max="3" width="25.421875" style="0" customWidth="1"/>
  </cols>
  <sheetData>
    <row r="1" spans="1:4" ht="15.75">
      <c r="A1" s="381" t="s">
        <v>959</v>
      </c>
      <c r="B1" s="381"/>
      <c r="C1" s="381"/>
      <c r="D1" s="381"/>
    </row>
    <row r="2" spans="1:4" ht="15.75">
      <c r="A2" s="382" t="s">
        <v>255</v>
      </c>
      <c r="B2" s="382"/>
      <c r="C2" s="382"/>
      <c r="D2" s="382"/>
    </row>
    <row r="3" spans="1:4" s="55" customFormat="1" ht="15.75">
      <c r="A3" s="382" t="s">
        <v>1432</v>
      </c>
      <c r="B3" s="382"/>
      <c r="C3" s="382"/>
      <c r="D3" s="382"/>
    </row>
    <row r="4" spans="1:4" s="55" customFormat="1" ht="15.75">
      <c r="A4" s="107"/>
      <c r="B4" s="107"/>
      <c r="C4" s="89"/>
      <c r="D4" s="89"/>
    </row>
    <row r="5" spans="1:4" ht="30">
      <c r="A5" s="383" t="s">
        <v>229</v>
      </c>
      <c r="B5" s="384"/>
      <c r="C5" s="86" t="s">
        <v>231</v>
      </c>
      <c r="D5" s="85" t="s">
        <v>530</v>
      </c>
    </row>
    <row r="6" spans="1:4" ht="15">
      <c r="A6" s="383" t="s">
        <v>229</v>
      </c>
      <c r="B6" s="384"/>
      <c r="C6" s="73"/>
      <c r="D6" s="73"/>
    </row>
    <row r="7" spans="1:4" ht="15.75" thickBot="1">
      <c r="A7" s="379" t="s">
        <v>0</v>
      </c>
      <c r="B7" s="380"/>
      <c r="C7" s="76"/>
      <c r="D7" s="76"/>
    </row>
    <row r="8" spans="1:4" ht="15">
      <c r="A8" s="435" t="s">
        <v>24</v>
      </c>
      <c r="B8" s="436"/>
      <c r="C8" s="77"/>
      <c r="D8" s="77"/>
    </row>
    <row r="9" spans="1:4" ht="15">
      <c r="A9" s="435" t="s">
        <v>236</v>
      </c>
      <c r="B9" s="436"/>
      <c r="C9" s="77"/>
      <c r="D9" s="77"/>
    </row>
    <row r="10" spans="1:4" ht="15.75" thickBot="1">
      <c r="A10" s="451" t="s">
        <v>28</v>
      </c>
      <c r="B10" s="445"/>
      <c r="C10" s="77"/>
      <c r="D10" s="77"/>
    </row>
    <row r="11" spans="1:4" ht="15.75" thickBot="1">
      <c r="A11" s="375" t="s">
        <v>29</v>
      </c>
      <c r="B11" s="376"/>
      <c r="C11" s="77"/>
      <c r="D11" s="77"/>
    </row>
    <row r="12" spans="1:4" ht="15">
      <c r="A12" s="433" t="s">
        <v>45</v>
      </c>
      <c r="B12" s="434"/>
      <c r="C12" s="77"/>
      <c r="D12" s="77"/>
    </row>
    <row r="13" spans="1:4" ht="15.75" thickBot="1">
      <c r="A13" s="449" t="s">
        <v>55</v>
      </c>
      <c r="B13" s="450"/>
      <c r="C13" s="77"/>
      <c r="D13" s="77"/>
    </row>
    <row r="14" spans="1:4" ht="15.75" thickBot="1">
      <c r="A14" s="377" t="s">
        <v>56</v>
      </c>
      <c r="B14" s="378"/>
      <c r="C14" s="77"/>
      <c r="D14" s="77"/>
    </row>
    <row r="15" spans="1:4" ht="15.75" thickBot="1">
      <c r="A15" s="375" t="s">
        <v>57</v>
      </c>
      <c r="B15" s="376"/>
      <c r="C15" s="77"/>
      <c r="D15" s="77"/>
    </row>
    <row r="16" spans="1:4" ht="15.75" thickBot="1">
      <c r="A16" s="249" t="s">
        <v>1433</v>
      </c>
      <c r="B16" s="275"/>
      <c r="C16" s="183" t="s">
        <v>279</v>
      </c>
      <c r="D16" s="183"/>
    </row>
    <row r="17" spans="1:4" ht="15">
      <c r="A17" s="186" t="s">
        <v>1434</v>
      </c>
      <c r="B17" s="91"/>
      <c r="C17" s="183" t="s">
        <v>309</v>
      </c>
      <c r="D17" s="183">
        <f>1*130+175</f>
        <v>305</v>
      </c>
    </row>
    <row r="18" spans="1:4" ht="15">
      <c r="A18" s="90" t="s">
        <v>1435</v>
      </c>
      <c r="B18" s="91"/>
      <c r="C18" s="72" t="s">
        <v>359</v>
      </c>
      <c r="D18" s="72">
        <f>3.5*130+175+175+130*1.5</f>
        <v>1000</v>
      </c>
    </row>
    <row r="19" spans="1:4" ht="15.75" thickBot="1">
      <c r="A19" s="249" t="s">
        <v>1440</v>
      </c>
      <c r="B19" s="275"/>
      <c r="C19" s="183" t="s">
        <v>400</v>
      </c>
      <c r="D19" s="183">
        <f>2*130+175</f>
        <v>435</v>
      </c>
    </row>
    <row r="20" spans="1:4" ht="30.75" thickBot="1">
      <c r="A20" s="249" t="s">
        <v>1441</v>
      </c>
      <c r="B20" s="275"/>
      <c r="C20" s="256" t="s">
        <v>1442</v>
      </c>
      <c r="D20" s="183">
        <f>175+130*8*3</f>
        <v>3295</v>
      </c>
    </row>
    <row r="21" spans="1:4" ht="15">
      <c r="A21" s="399" t="s">
        <v>349</v>
      </c>
      <c r="B21" s="400"/>
      <c r="C21" s="181" t="s">
        <v>342</v>
      </c>
      <c r="D21" s="199">
        <v>3</v>
      </c>
    </row>
    <row r="22" spans="1:4" s="73" customFormat="1" ht="15">
      <c r="A22" s="399" t="s">
        <v>1456</v>
      </c>
      <c r="B22" s="400"/>
      <c r="C22" s="72" t="s">
        <v>360</v>
      </c>
      <c r="D22" s="72">
        <v>4</v>
      </c>
    </row>
    <row r="23" spans="1:4" s="73" customFormat="1" ht="15">
      <c r="A23" s="399" t="s">
        <v>671</v>
      </c>
      <c r="B23" s="400"/>
      <c r="C23" s="72" t="s">
        <v>347</v>
      </c>
      <c r="D23" s="72">
        <v>8</v>
      </c>
    </row>
    <row r="24" spans="1:4" s="73" customFormat="1" ht="15" customHeight="1">
      <c r="A24" s="399" t="s">
        <v>672</v>
      </c>
      <c r="B24" s="400"/>
      <c r="C24" s="72" t="s">
        <v>347</v>
      </c>
      <c r="D24" s="72">
        <v>16</v>
      </c>
    </row>
    <row r="25" spans="1:4" s="73" customFormat="1" ht="15">
      <c r="A25" s="399" t="s">
        <v>1457</v>
      </c>
      <c r="B25" s="400"/>
      <c r="C25" s="72" t="s">
        <v>1458</v>
      </c>
      <c r="D25" s="72">
        <v>15</v>
      </c>
    </row>
    <row r="26" spans="1:4" s="73" customFormat="1" ht="15">
      <c r="A26" s="72" t="s">
        <v>1459</v>
      </c>
      <c r="B26" s="72"/>
      <c r="C26" s="72" t="s">
        <v>1460</v>
      </c>
      <c r="D26" s="72">
        <v>1.8</v>
      </c>
    </row>
    <row r="27" spans="1:4" s="73" customFormat="1" ht="15">
      <c r="A27" s="400" t="s">
        <v>1461</v>
      </c>
      <c r="B27" s="448"/>
      <c r="C27" s="72" t="s">
        <v>1462</v>
      </c>
      <c r="D27" s="72">
        <v>2</v>
      </c>
    </row>
    <row r="28" spans="1:4" s="73" customFormat="1" ht="15">
      <c r="A28" s="399" t="s">
        <v>1465</v>
      </c>
      <c r="B28" s="400"/>
      <c r="C28" s="72" t="s">
        <v>1076</v>
      </c>
      <c r="D28" s="72">
        <v>3</v>
      </c>
    </row>
    <row r="29" spans="1:4" s="73" customFormat="1" ht="16.5" customHeight="1">
      <c r="A29" s="244" t="s">
        <v>1304</v>
      </c>
      <c r="B29" s="245"/>
      <c r="C29" s="105" t="s">
        <v>1162</v>
      </c>
      <c r="D29" s="72">
        <v>1</v>
      </c>
    </row>
    <row r="30" spans="1:4" ht="15" customHeight="1">
      <c r="A30" s="436" t="s">
        <v>62</v>
      </c>
      <c r="B30" s="447"/>
      <c r="C30" s="77"/>
      <c r="D30" s="77"/>
    </row>
    <row r="31" spans="1:4" ht="15.75" customHeight="1" thickBot="1">
      <c r="A31" s="445" t="s">
        <v>63</v>
      </c>
      <c r="B31" s="446"/>
      <c r="C31" s="77"/>
      <c r="D31" s="77"/>
    </row>
    <row r="32" spans="1:4" ht="15.75" thickBot="1">
      <c r="A32" s="387" t="s">
        <v>64</v>
      </c>
      <c r="B32" s="377"/>
      <c r="C32" s="77"/>
      <c r="D32" s="77"/>
    </row>
    <row r="33" spans="1:4" ht="15">
      <c r="A33" s="388" t="s">
        <v>66</v>
      </c>
      <c r="B33" s="389"/>
      <c r="C33" s="77"/>
      <c r="D33" s="77"/>
    </row>
    <row r="34" spans="1:4" ht="15">
      <c r="A34" s="60" t="s">
        <v>68</v>
      </c>
      <c r="B34" s="61"/>
      <c r="C34" s="77"/>
      <c r="D34" s="77"/>
    </row>
    <row r="35" spans="1:4" ht="15">
      <c r="A35" s="276" t="s">
        <v>1436</v>
      </c>
      <c r="B35" s="269"/>
      <c r="C35" s="72" t="s">
        <v>850</v>
      </c>
      <c r="D35" s="72">
        <f>0.3*130*2+175</f>
        <v>253</v>
      </c>
    </row>
    <row r="36" spans="1:4" ht="15">
      <c r="A36" s="90" t="s">
        <v>1443</v>
      </c>
      <c r="B36" s="91"/>
      <c r="C36" s="72" t="s">
        <v>1444</v>
      </c>
      <c r="D36" s="72">
        <f>130*1+130*8+175</f>
        <v>1345</v>
      </c>
    </row>
    <row r="37" spans="1:4" ht="15">
      <c r="A37" s="276" t="s">
        <v>1445</v>
      </c>
      <c r="B37" s="269"/>
      <c r="C37" s="72" t="s">
        <v>823</v>
      </c>
      <c r="D37" s="72">
        <f>6*130*2+175</f>
        <v>1735</v>
      </c>
    </row>
    <row r="38" spans="1:4" ht="16.5" customHeight="1">
      <c r="A38" s="90" t="s">
        <v>1446</v>
      </c>
      <c r="B38" s="91"/>
      <c r="C38" s="105" t="s">
        <v>823</v>
      </c>
      <c r="D38" s="72">
        <f>130*8*2+175</f>
        <v>2255</v>
      </c>
    </row>
    <row r="39" spans="1:4" ht="15" customHeight="1">
      <c r="A39" s="87" t="s">
        <v>332</v>
      </c>
      <c r="B39" s="140"/>
      <c r="C39" s="181" t="s">
        <v>328</v>
      </c>
      <c r="D39" s="199">
        <v>2</v>
      </c>
    </row>
    <row r="40" spans="1:4" ht="15" customHeight="1">
      <c r="A40" s="87" t="s">
        <v>338</v>
      </c>
      <c r="B40" s="140"/>
      <c r="C40" s="181" t="s">
        <v>357</v>
      </c>
      <c r="D40" s="199">
        <f>2+2</f>
        <v>4</v>
      </c>
    </row>
    <row r="41" spans="1:4" ht="15" customHeight="1">
      <c r="A41" s="62" t="s">
        <v>332</v>
      </c>
      <c r="B41" s="63"/>
      <c r="C41" s="77" t="s">
        <v>328</v>
      </c>
      <c r="D41" s="77">
        <v>2</v>
      </c>
    </row>
    <row r="42" spans="1:4" ht="15" customHeight="1">
      <c r="A42" s="62" t="s">
        <v>338</v>
      </c>
      <c r="B42" s="63"/>
      <c r="C42" s="77" t="s">
        <v>357</v>
      </c>
      <c r="D42" s="77">
        <f>2+2</f>
        <v>4</v>
      </c>
    </row>
    <row r="43" spans="1:4" ht="15" customHeight="1">
      <c r="A43" s="62" t="s">
        <v>74</v>
      </c>
      <c r="B43" s="63"/>
      <c r="C43" s="77"/>
      <c r="D43" s="77"/>
    </row>
    <row r="44" spans="1:4" ht="15">
      <c r="A44" s="62" t="s">
        <v>237</v>
      </c>
      <c r="B44" s="63"/>
      <c r="C44" s="77"/>
      <c r="D44" s="77"/>
    </row>
    <row r="45" spans="1:4" ht="15" customHeight="1">
      <c r="A45" s="64" t="s">
        <v>238</v>
      </c>
      <c r="B45" s="65"/>
      <c r="C45" s="77"/>
      <c r="D45" s="77"/>
    </row>
    <row r="46" spans="1:4" ht="15" customHeight="1">
      <c r="A46" s="66" t="s">
        <v>80</v>
      </c>
      <c r="B46" s="67"/>
      <c r="C46" s="77"/>
      <c r="D46" s="77"/>
    </row>
    <row r="47" spans="1:4" ht="15" customHeight="1">
      <c r="A47" s="64" t="s">
        <v>82</v>
      </c>
      <c r="B47" s="65"/>
      <c r="C47" s="77"/>
      <c r="D47" s="77"/>
    </row>
    <row r="48" spans="1:4" ht="15">
      <c r="A48" s="64" t="s">
        <v>84</v>
      </c>
      <c r="B48" s="65"/>
      <c r="C48" s="77"/>
      <c r="D48" s="77"/>
    </row>
    <row r="49" spans="1:4" ht="15" customHeight="1">
      <c r="A49" s="64" t="s">
        <v>86</v>
      </c>
      <c r="B49" s="65"/>
      <c r="C49" s="77"/>
      <c r="D49" s="77"/>
    </row>
    <row r="50" spans="1:4" ht="15" customHeight="1">
      <c r="A50" s="68" t="s">
        <v>88</v>
      </c>
      <c r="B50" s="69"/>
      <c r="C50" s="77"/>
      <c r="D50" s="77"/>
    </row>
    <row r="51" spans="1:4" ht="15">
      <c r="A51" s="390" t="s">
        <v>90</v>
      </c>
      <c r="B51" s="391"/>
      <c r="C51" s="77"/>
      <c r="D51" s="77"/>
    </row>
    <row r="52" spans="1:4" ht="15">
      <c r="A52" s="186" t="s">
        <v>1437</v>
      </c>
      <c r="B52" s="91"/>
      <c r="C52" s="72" t="s">
        <v>279</v>
      </c>
      <c r="D52" s="72">
        <f>0.4*130</f>
        <v>52</v>
      </c>
    </row>
    <row r="53" spans="1:4" ht="28.5" customHeight="1">
      <c r="A53" s="90" t="s">
        <v>1447</v>
      </c>
      <c r="B53" s="91"/>
      <c r="C53" s="105" t="s">
        <v>1448</v>
      </c>
      <c r="D53" s="72">
        <f>1*130*4+350</f>
        <v>870</v>
      </c>
    </row>
    <row r="54" spans="1:4" ht="15">
      <c r="A54" s="90" t="s">
        <v>818</v>
      </c>
      <c r="B54" s="250"/>
      <c r="C54" s="72" t="s">
        <v>378</v>
      </c>
      <c r="D54" s="72">
        <f>2*130+175</f>
        <v>435</v>
      </c>
    </row>
    <row r="55" spans="1:4" ht="15">
      <c r="A55" s="186" t="s">
        <v>1449</v>
      </c>
      <c r="B55" s="91"/>
      <c r="C55" s="72" t="s">
        <v>279</v>
      </c>
      <c r="D55" s="72">
        <f>175+130*2</f>
        <v>435</v>
      </c>
    </row>
    <row r="56" spans="1:4" ht="15" customHeight="1">
      <c r="A56" s="401" t="s">
        <v>1454</v>
      </c>
      <c r="B56" s="402"/>
      <c r="C56" s="72" t="s">
        <v>390</v>
      </c>
      <c r="D56" s="72">
        <v>1.5</v>
      </c>
    </row>
    <row r="57" spans="1:4" ht="15" customHeight="1">
      <c r="A57" s="401" t="s">
        <v>1455</v>
      </c>
      <c r="B57" s="402"/>
      <c r="C57" s="72" t="s">
        <v>360</v>
      </c>
      <c r="D57" s="72">
        <v>4</v>
      </c>
    </row>
    <row r="58" spans="1:4" s="73" customFormat="1" ht="29.25" customHeight="1">
      <c r="A58" s="401" t="s">
        <v>483</v>
      </c>
      <c r="B58" s="402"/>
      <c r="C58" s="105" t="s">
        <v>484</v>
      </c>
      <c r="D58" s="72">
        <v>1.5</v>
      </c>
    </row>
    <row r="59" spans="1:4" s="73" customFormat="1" ht="15">
      <c r="A59" s="402" t="s">
        <v>527</v>
      </c>
      <c r="B59" s="413"/>
      <c r="C59" s="72" t="s">
        <v>528</v>
      </c>
      <c r="D59" s="72">
        <v>2.8</v>
      </c>
    </row>
    <row r="60" spans="1:4" s="73" customFormat="1" ht="29.25" customHeight="1">
      <c r="A60" s="401" t="s">
        <v>564</v>
      </c>
      <c r="B60" s="402"/>
      <c r="C60" s="105" t="s">
        <v>279</v>
      </c>
      <c r="D60" s="72">
        <v>0.4</v>
      </c>
    </row>
    <row r="61" spans="1:4" s="94" customFormat="1" ht="21.75" customHeight="1">
      <c r="A61" s="428" t="s">
        <v>902</v>
      </c>
      <c r="B61" s="429"/>
      <c r="C61" s="220" t="s">
        <v>378</v>
      </c>
      <c r="D61" s="199">
        <v>1</v>
      </c>
    </row>
    <row r="62" spans="1:4" s="73" customFormat="1" ht="33" customHeight="1">
      <c r="A62" s="244" t="s">
        <v>905</v>
      </c>
      <c r="B62" s="245"/>
      <c r="C62" s="105" t="s">
        <v>906</v>
      </c>
      <c r="D62" s="72">
        <v>1.2</v>
      </c>
    </row>
    <row r="63" spans="1:4" s="73" customFormat="1" ht="15">
      <c r="A63" s="402" t="s">
        <v>907</v>
      </c>
      <c r="B63" s="413"/>
      <c r="C63" s="72" t="s">
        <v>908</v>
      </c>
      <c r="D63" s="72">
        <v>2.25</v>
      </c>
    </row>
    <row r="64" spans="1:4" s="73" customFormat="1" ht="27.75" customHeight="1">
      <c r="A64" s="401" t="s">
        <v>1468</v>
      </c>
      <c r="B64" s="402"/>
      <c r="C64" s="105" t="s">
        <v>724</v>
      </c>
      <c r="D64" s="72">
        <v>4</v>
      </c>
    </row>
    <row r="65" spans="1:4" s="73" customFormat="1" ht="33" customHeight="1">
      <c r="A65" s="244" t="s">
        <v>1469</v>
      </c>
      <c r="B65" s="245"/>
      <c r="C65" s="105" t="s">
        <v>360</v>
      </c>
      <c r="D65" s="72">
        <v>1</v>
      </c>
    </row>
    <row r="66" spans="1:4" s="73" customFormat="1" ht="15">
      <c r="A66" s="437" t="s">
        <v>527</v>
      </c>
      <c r="B66" s="438"/>
      <c r="C66" s="77" t="s">
        <v>528</v>
      </c>
      <c r="D66" s="77">
        <v>2.8</v>
      </c>
    </row>
    <row r="67" spans="1:4" ht="15">
      <c r="A67" s="437" t="s">
        <v>96</v>
      </c>
      <c r="B67" s="438"/>
      <c r="C67" s="77"/>
      <c r="D67" s="77"/>
    </row>
    <row r="68" spans="1:4" ht="15.75" customHeight="1" thickBot="1">
      <c r="A68" s="439" t="s">
        <v>98</v>
      </c>
      <c r="B68" s="440"/>
      <c r="C68" s="77"/>
      <c r="D68" s="77"/>
    </row>
    <row r="69" spans="1:4" ht="15.75" thickBot="1">
      <c r="A69" s="377" t="s">
        <v>99</v>
      </c>
      <c r="B69" s="378"/>
      <c r="C69" s="77"/>
      <c r="D69" s="77"/>
    </row>
    <row r="70" spans="1:4" ht="30.75" customHeight="1" thickBot="1">
      <c r="A70" s="501" t="s">
        <v>307</v>
      </c>
      <c r="B70" s="502"/>
      <c r="C70" s="78" t="s">
        <v>408</v>
      </c>
      <c r="D70" s="80" t="s">
        <v>416</v>
      </c>
    </row>
    <row r="71" spans="1:4" ht="15.75" thickBot="1">
      <c r="A71" s="377" t="s">
        <v>101</v>
      </c>
      <c r="B71" s="378"/>
      <c r="C71" s="77"/>
      <c r="D71" s="77"/>
    </row>
    <row r="72" spans="1:4" ht="15.75" thickBot="1">
      <c r="A72" s="443" t="s">
        <v>102</v>
      </c>
      <c r="B72" s="375"/>
      <c r="C72" s="77" t="s">
        <v>243</v>
      </c>
      <c r="D72" s="77"/>
    </row>
    <row r="73" spans="1:4" ht="15">
      <c r="A73" s="263" t="s">
        <v>1438</v>
      </c>
      <c r="B73" s="250"/>
      <c r="C73" s="72"/>
      <c r="D73" s="72">
        <f>1.2*130+175</f>
        <v>331</v>
      </c>
    </row>
    <row r="74" spans="1:4" ht="15">
      <c r="A74" s="513" t="s">
        <v>1439</v>
      </c>
      <c r="B74" s="513"/>
      <c r="C74" s="72"/>
      <c r="D74" s="72">
        <f>84.55+175+477</f>
        <v>736.55</v>
      </c>
    </row>
    <row r="75" spans="1:4" ht="15">
      <c r="A75" s="90" t="s">
        <v>1450</v>
      </c>
      <c r="B75" s="250"/>
      <c r="C75" s="72" t="s">
        <v>243</v>
      </c>
      <c r="D75" s="72">
        <f>1.5*130+175</f>
        <v>370</v>
      </c>
    </row>
    <row r="76" spans="1:4" ht="15">
      <c r="A76" s="90" t="s">
        <v>1451</v>
      </c>
      <c r="B76" s="250"/>
      <c r="C76" s="72" t="s">
        <v>243</v>
      </c>
      <c r="D76" s="72">
        <f>4*130+175</f>
        <v>695</v>
      </c>
    </row>
    <row r="77" spans="1:4" ht="15">
      <c r="A77" s="90" t="s">
        <v>1452</v>
      </c>
      <c r="B77" s="250"/>
      <c r="C77" s="72" t="s">
        <v>243</v>
      </c>
      <c r="D77" s="72">
        <f>1.5*130+175</f>
        <v>370</v>
      </c>
    </row>
    <row r="78" spans="1:4" ht="15">
      <c r="A78" s="90" t="s">
        <v>1453</v>
      </c>
      <c r="B78" s="250"/>
      <c r="C78" s="72" t="s">
        <v>243</v>
      </c>
      <c r="D78" s="72">
        <f>2*130+175</f>
        <v>435</v>
      </c>
    </row>
    <row r="79" spans="1:4" ht="15">
      <c r="A79" s="90" t="s">
        <v>256</v>
      </c>
      <c r="B79" s="135"/>
      <c r="C79" s="199"/>
      <c r="D79" s="199">
        <v>1.5</v>
      </c>
    </row>
    <row r="80" spans="1:4" ht="15">
      <c r="A80" s="186" t="s">
        <v>271</v>
      </c>
      <c r="B80" s="135"/>
      <c r="C80" s="199"/>
      <c r="D80" s="199">
        <v>1</v>
      </c>
    </row>
    <row r="81" spans="1:4" s="73" customFormat="1" ht="15">
      <c r="A81" s="90" t="s">
        <v>1463</v>
      </c>
      <c r="B81" s="91"/>
      <c r="C81" s="72" t="s">
        <v>243</v>
      </c>
      <c r="D81" s="72">
        <v>1.5</v>
      </c>
    </row>
    <row r="82" spans="1:4" s="73" customFormat="1" ht="15">
      <c r="A82" s="90" t="s">
        <v>1464</v>
      </c>
      <c r="B82" s="91"/>
      <c r="C82" s="72" t="s">
        <v>243</v>
      </c>
      <c r="D82" s="72">
        <v>1</v>
      </c>
    </row>
    <row r="83" spans="1:4" s="73" customFormat="1" ht="15">
      <c r="A83" s="90" t="s">
        <v>1466</v>
      </c>
      <c r="B83" s="91"/>
      <c r="C83" s="72" t="s">
        <v>243</v>
      </c>
      <c r="D83" s="72">
        <v>1</v>
      </c>
    </row>
    <row r="84" spans="1:4" s="73" customFormat="1" ht="15">
      <c r="A84" s="90" t="s">
        <v>1467</v>
      </c>
      <c r="B84" s="91"/>
      <c r="C84" s="72" t="s">
        <v>243</v>
      </c>
      <c r="D84" s="72">
        <v>1</v>
      </c>
    </row>
    <row r="85" spans="1:4" ht="15">
      <c r="A85" s="133" t="s">
        <v>271</v>
      </c>
      <c r="B85" s="70"/>
      <c r="C85" s="77"/>
      <c r="D85" s="77">
        <v>1</v>
      </c>
    </row>
    <row r="86" spans="1:4" ht="15">
      <c r="A86" s="390" t="s">
        <v>410</v>
      </c>
      <c r="B86" s="506"/>
      <c r="C86" s="77"/>
      <c r="D86" s="77"/>
    </row>
    <row r="87" spans="1:4" ht="15.75" thickBot="1">
      <c r="A87" s="453" t="s">
        <v>104</v>
      </c>
      <c r="B87" s="507"/>
      <c r="C87" s="77"/>
      <c r="D87" s="77"/>
    </row>
    <row r="88" spans="1:4" ht="15">
      <c r="A88" s="79"/>
      <c r="B88" s="79"/>
      <c r="C88" s="76"/>
      <c r="D88" s="76"/>
    </row>
    <row r="89" spans="1:4" ht="15.75">
      <c r="A89" s="394" t="s">
        <v>233</v>
      </c>
      <c r="B89" s="394"/>
      <c r="C89" s="394"/>
      <c r="D89" s="394"/>
    </row>
    <row r="90" spans="1:4" ht="15">
      <c r="A90" s="76"/>
      <c r="B90" s="76"/>
      <c r="C90" s="76"/>
      <c r="D90" s="76"/>
    </row>
    <row r="91" spans="1:4" ht="15.75">
      <c r="A91" s="394" t="s">
        <v>234</v>
      </c>
      <c r="B91" s="394"/>
      <c r="C91" s="394"/>
      <c r="D91" s="394"/>
    </row>
  </sheetData>
  <sheetProtection/>
  <mergeCells count="46">
    <mergeCell ref="A61:B61"/>
    <mergeCell ref="A63:B63"/>
    <mergeCell ref="A64:B64"/>
    <mergeCell ref="A59:B59"/>
    <mergeCell ref="A23:B23"/>
    <mergeCell ref="A24:B24"/>
    <mergeCell ref="A25:B25"/>
    <mergeCell ref="A27:B27"/>
    <mergeCell ref="A60:B60"/>
    <mergeCell ref="A31:B31"/>
    <mergeCell ref="A32:B32"/>
    <mergeCell ref="A33:B33"/>
    <mergeCell ref="A51:B51"/>
    <mergeCell ref="A56:B56"/>
    <mergeCell ref="A57:B57"/>
    <mergeCell ref="A58:B58"/>
    <mergeCell ref="A89:D89"/>
    <mergeCell ref="A91:D91"/>
    <mergeCell ref="A66:B66"/>
    <mergeCell ref="A67:B67"/>
    <mergeCell ref="A68:B68"/>
    <mergeCell ref="A69:B69"/>
    <mergeCell ref="A70:B70"/>
    <mergeCell ref="A71:B71"/>
    <mergeCell ref="A72:B72"/>
    <mergeCell ref="A86:B86"/>
    <mergeCell ref="A87:B87"/>
    <mergeCell ref="A74:B74"/>
    <mergeCell ref="A14:B14"/>
    <mergeCell ref="A15:B15"/>
    <mergeCell ref="A22:B22"/>
    <mergeCell ref="A28:B28"/>
    <mergeCell ref="A30:B30"/>
    <mergeCell ref="A21:B21"/>
    <mergeCell ref="A13:B13"/>
    <mergeCell ref="A1:D1"/>
    <mergeCell ref="A2:D2"/>
    <mergeCell ref="A3:D3"/>
    <mergeCell ref="A5:B5"/>
    <mergeCell ref="A6:B6"/>
    <mergeCell ref="A7:B7"/>
    <mergeCell ref="A8:B8"/>
    <mergeCell ref="A9:B9"/>
    <mergeCell ref="A10:B10"/>
    <mergeCell ref="A11:B11"/>
    <mergeCell ref="A12:B12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95"/>
  <sheetViews>
    <sheetView zoomScalePageLayoutView="0" workbookViewId="0" topLeftCell="A64">
      <selection activeCell="D74" sqref="D74"/>
    </sheetView>
  </sheetViews>
  <sheetFormatPr defaultColWidth="9.140625" defaultRowHeight="15"/>
  <cols>
    <col min="1" max="1" width="80.8515625" style="0" customWidth="1"/>
    <col min="2" max="2" width="3.28125" style="0" hidden="1" customWidth="1"/>
    <col min="3" max="3" width="37.28125" style="0" customWidth="1"/>
  </cols>
  <sheetData>
    <row r="1" spans="1:4" ht="15.75">
      <c r="A1" s="381" t="s">
        <v>959</v>
      </c>
      <c r="B1" s="381"/>
      <c r="C1" s="381"/>
      <c r="D1" s="381"/>
    </row>
    <row r="2" spans="1:4" ht="15.75">
      <c r="A2" s="382" t="s">
        <v>288</v>
      </c>
      <c r="B2" s="382"/>
      <c r="C2" s="382"/>
      <c r="D2" s="382"/>
    </row>
    <row r="3" spans="1:4" s="55" customFormat="1" ht="15.75">
      <c r="A3" s="382" t="s">
        <v>1470</v>
      </c>
      <c r="B3" s="382"/>
      <c r="C3" s="382"/>
      <c r="D3" s="382"/>
    </row>
    <row r="4" spans="1:4" s="55" customFormat="1" ht="15.75">
      <c r="A4" s="107"/>
      <c r="B4" s="107"/>
      <c r="C4" s="89"/>
      <c r="D4" s="89"/>
    </row>
    <row r="5" spans="1:4" ht="30">
      <c r="A5" s="383" t="s">
        <v>229</v>
      </c>
      <c r="B5" s="384"/>
      <c r="C5" s="86" t="s">
        <v>231</v>
      </c>
      <c r="D5" s="85" t="s">
        <v>530</v>
      </c>
    </row>
    <row r="6" spans="1:4" ht="15">
      <c r="A6" s="383" t="s">
        <v>229</v>
      </c>
      <c r="B6" s="384"/>
      <c r="C6" s="73"/>
      <c r="D6" s="73"/>
    </row>
    <row r="7" spans="1:4" ht="15.75" thickBot="1">
      <c r="A7" s="379" t="s">
        <v>0</v>
      </c>
      <c r="B7" s="380"/>
      <c r="C7" s="76"/>
      <c r="D7" s="76"/>
    </row>
    <row r="8" spans="1:4" ht="15">
      <c r="A8" s="435" t="s">
        <v>24</v>
      </c>
      <c r="B8" s="436"/>
      <c r="C8" s="77"/>
      <c r="D8" s="77"/>
    </row>
    <row r="9" spans="1:4" ht="15">
      <c r="A9" s="435" t="s">
        <v>236</v>
      </c>
      <c r="B9" s="436"/>
      <c r="C9" s="77"/>
      <c r="D9" s="77"/>
    </row>
    <row r="10" spans="1:4" ht="15.75" thickBot="1">
      <c r="A10" s="451" t="s">
        <v>28</v>
      </c>
      <c r="B10" s="445"/>
      <c r="C10" s="77"/>
      <c r="D10" s="77"/>
    </row>
    <row r="11" spans="1:4" ht="15.75" thickBot="1">
      <c r="A11" s="375" t="s">
        <v>29</v>
      </c>
      <c r="B11" s="376"/>
      <c r="C11" s="77"/>
      <c r="D11" s="77"/>
    </row>
    <row r="12" spans="1:4" ht="15">
      <c r="A12" s="433" t="s">
        <v>45</v>
      </c>
      <c r="B12" s="434"/>
      <c r="C12" s="77"/>
      <c r="D12" s="77"/>
    </row>
    <row r="13" spans="1:4" ht="15.75" thickBot="1">
      <c r="A13" s="449" t="s">
        <v>55</v>
      </c>
      <c r="B13" s="450"/>
      <c r="C13" s="77"/>
      <c r="D13" s="77"/>
    </row>
    <row r="14" spans="1:4" ht="15.75" thickBot="1">
      <c r="A14" s="377" t="s">
        <v>56</v>
      </c>
      <c r="B14" s="378"/>
      <c r="C14" s="77"/>
      <c r="D14" s="77"/>
    </row>
    <row r="15" spans="1:4" ht="15.75" thickBot="1">
      <c r="A15" s="375" t="s">
        <v>57</v>
      </c>
      <c r="B15" s="376"/>
      <c r="C15" s="77"/>
      <c r="D15" s="77"/>
    </row>
    <row r="16" spans="1:4" ht="15.75" thickBot="1">
      <c r="A16" s="249" t="s">
        <v>1474</v>
      </c>
      <c r="B16" s="275"/>
      <c r="C16" s="183" t="s">
        <v>400</v>
      </c>
      <c r="D16" s="183">
        <f>2.5*130+175</f>
        <v>500</v>
      </c>
    </row>
    <row r="17" spans="1:4" ht="36.75" customHeight="1" thickBot="1">
      <c r="A17" s="249" t="s">
        <v>1475</v>
      </c>
      <c r="B17" s="275"/>
      <c r="C17" s="256" t="s">
        <v>1476</v>
      </c>
      <c r="D17" s="183">
        <f>8*130*4+175</f>
        <v>4335</v>
      </c>
    </row>
    <row r="18" spans="1:4" ht="15">
      <c r="A18" s="399" t="s">
        <v>331</v>
      </c>
      <c r="B18" s="400"/>
      <c r="C18" s="181" t="s">
        <v>328</v>
      </c>
      <c r="D18" s="199">
        <v>2</v>
      </c>
    </row>
    <row r="19" spans="1:4" ht="15" customHeight="1">
      <c r="A19" s="399" t="s">
        <v>336</v>
      </c>
      <c r="B19" s="400"/>
      <c r="C19" s="181" t="s">
        <v>362</v>
      </c>
      <c r="D19" s="199">
        <f>1+2+1</f>
        <v>4</v>
      </c>
    </row>
    <row r="20" spans="1:4" ht="15">
      <c r="A20" s="400" t="s">
        <v>339</v>
      </c>
      <c r="B20" s="448"/>
      <c r="C20" s="181" t="s">
        <v>328</v>
      </c>
      <c r="D20" s="199">
        <v>4</v>
      </c>
    </row>
    <row r="21" spans="1:4" ht="15">
      <c r="A21" s="400" t="s">
        <v>349</v>
      </c>
      <c r="B21" s="448"/>
      <c r="C21" s="181" t="s">
        <v>388</v>
      </c>
      <c r="D21" s="199">
        <f>2+2+6</f>
        <v>10</v>
      </c>
    </row>
    <row r="22" spans="1:4" s="73" customFormat="1" ht="15">
      <c r="A22" s="399" t="s">
        <v>1489</v>
      </c>
      <c r="B22" s="400"/>
      <c r="C22" s="72" t="s">
        <v>279</v>
      </c>
      <c r="D22" s="72">
        <v>1</v>
      </c>
    </row>
    <row r="23" spans="1:4" s="73" customFormat="1" ht="15">
      <c r="A23" s="399" t="s">
        <v>1457</v>
      </c>
      <c r="B23" s="400"/>
      <c r="C23" s="72" t="s">
        <v>1458</v>
      </c>
      <c r="D23" s="72">
        <v>15</v>
      </c>
    </row>
    <row r="24" spans="1:4" s="73" customFormat="1" ht="15">
      <c r="A24" s="72" t="s">
        <v>1459</v>
      </c>
      <c r="B24" s="72"/>
      <c r="C24" s="72" t="s">
        <v>1460</v>
      </c>
      <c r="D24" s="72">
        <v>1.8</v>
      </c>
    </row>
    <row r="25" spans="1:4" s="73" customFormat="1" ht="15">
      <c r="A25" s="400" t="s">
        <v>1461</v>
      </c>
      <c r="B25" s="448"/>
      <c r="C25" s="72" t="s">
        <v>1462</v>
      </c>
      <c r="D25" s="72">
        <v>2</v>
      </c>
    </row>
    <row r="26" spans="1:4" s="73" customFormat="1" ht="15">
      <c r="A26" s="399" t="s">
        <v>1496</v>
      </c>
      <c r="B26" s="400"/>
      <c r="C26" s="72" t="s">
        <v>1497</v>
      </c>
      <c r="D26" s="72">
        <v>16</v>
      </c>
    </row>
    <row r="27" spans="1:4" s="73" customFormat="1" ht="15">
      <c r="A27" s="72" t="s">
        <v>1498</v>
      </c>
      <c r="B27" s="72"/>
      <c r="C27" s="72" t="s">
        <v>1499</v>
      </c>
      <c r="D27" s="72">
        <v>11</v>
      </c>
    </row>
    <row r="28" spans="1:4" s="94" customFormat="1" ht="15">
      <c r="A28" s="403" t="s">
        <v>1019</v>
      </c>
      <c r="B28" s="404"/>
      <c r="C28" s="199" t="s">
        <v>279</v>
      </c>
      <c r="D28" s="199">
        <v>1</v>
      </c>
    </row>
    <row r="29" spans="1:4" s="73" customFormat="1" ht="15">
      <c r="A29" s="399" t="s">
        <v>1501</v>
      </c>
      <c r="B29" s="400"/>
      <c r="C29" s="72" t="s">
        <v>516</v>
      </c>
      <c r="D29" s="72">
        <v>3</v>
      </c>
    </row>
    <row r="30" spans="1:4" ht="15">
      <c r="A30" s="436" t="s">
        <v>349</v>
      </c>
      <c r="B30" s="447"/>
      <c r="C30" s="77" t="s">
        <v>388</v>
      </c>
      <c r="D30" s="77">
        <f>2+2+6</f>
        <v>10</v>
      </c>
    </row>
    <row r="31" spans="1:4" ht="15" customHeight="1">
      <c r="A31" s="436" t="s">
        <v>62</v>
      </c>
      <c r="B31" s="447"/>
      <c r="C31" s="77"/>
      <c r="D31" s="77"/>
    </row>
    <row r="32" spans="1:4" ht="15.75" customHeight="1" thickBot="1">
      <c r="A32" s="445" t="s">
        <v>63</v>
      </c>
      <c r="B32" s="446"/>
      <c r="C32" s="77"/>
      <c r="D32" s="77"/>
    </row>
    <row r="33" spans="1:4" ht="15.75" thickBot="1">
      <c r="A33" s="387" t="s">
        <v>64</v>
      </c>
      <c r="B33" s="377"/>
      <c r="C33" s="77"/>
      <c r="D33" s="77"/>
    </row>
    <row r="34" spans="1:4" ht="15">
      <c r="A34" s="388" t="s">
        <v>66</v>
      </c>
      <c r="B34" s="389"/>
      <c r="C34" s="77"/>
      <c r="D34" s="77"/>
    </row>
    <row r="35" spans="1:4" ht="15">
      <c r="A35" s="60" t="s">
        <v>68</v>
      </c>
      <c r="B35" s="61"/>
      <c r="C35" s="77"/>
      <c r="D35" s="77"/>
    </row>
    <row r="36" spans="1:4" ht="15">
      <c r="A36" s="193" t="s">
        <v>1477</v>
      </c>
      <c r="B36" s="269"/>
      <c r="C36" s="72" t="s">
        <v>823</v>
      </c>
      <c r="D36" s="72">
        <f>3*130*6+175</f>
        <v>2515</v>
      </c>
    </row>
    <row r="37" spans="1:4" ht="15">
      <c r="A37" s="193" t="s">
        <v>1478</v>
      </c>
      <c r="B37" s="269"/>
      <c r="C37" s="72" t="s">
        <v>823</v>
      </c>
      <c r="D37" s="72">
        <f>3*130*2+175</f>
        <v>955</v>
      </c>
    </row>
    <row r="38" spans="1:4" ht="15">
      <c r="A38" s="193" t="s">
        <v>1479</v>
      </c>
      <c r="B38" s="269"/>
      <c r="C38" s="72" t="s">
        <v>823</v>
      </c>
      <c r="D38" s="72">
        <f>8*130*2+175</f>
        <v>2255</v>
      </c>
    </row>
    <row r="39" spans="1:4" ht="15">
      <c r="A39" s="276" t="s">
        <v>1480</v>
      </c>
      <c r="B39" s="269"/>
      <c r="C39" s="72" t="s">
        <v>371</v>
      </c>
      <c r="D39" s="72">
        <f>350+130*2*6</f>
        <v>1910</v>
      </c>
    </row>
    <row r="40" spans="1:4" ht="15" customHeight="1">
      <c r="A40" s="87" t="s">
        <v>322</v>
      </c>
      <c r="B40" s="140"/>
      <c r="C40" s="181" t="s">
        <v>371</v>
      </c>
      <c r="D40" s="199">
        <f>2+2</f>
        <v>4</v>
      </c>
    </row>
    <row r="41" spans="1:4" s="73" customFormat="1" ht="15" customHeight="1">
      <c r="A41" s="87" t="s">
        <v>1020</v>
      </c>
      <c r="B41" s="88"/>
      <c r="C41" s="72" t="s">
        <v>613</v>
      </c>
      <c r="D41" s="72">
        <v>2</v>
      </c>
    </row>
    <row r="42" spans="1:4" s="73" customFormat="1" ht="16.5" customHeight="1">
      <c r="A42" s="244" t="s">
        <v>1304</v>
      </c>
      <c r="B42" s="245"/>
      <c r="C42" s="105" t="s">
        <v>1162</v>
      </c>
      <c r="D42" s="72">
        <v>1</v>
      </c>
    </row>
    <row r="43" spans="1:4" ht="16.5" customHeight="1">
      <c r="A43" s="62" t="s">
        <v>74</v>
      </c>
      <c r="B43" s="63"/>
      <c r="C43" s="77"/>
      <c r="D43" s="77"/>
    </row>
    <row r="44" spans="1:4" ht="15">
      <c r="A44" s="62" t="s">
        <v>237</v>
      </c>
      <c r="B44" s="63"/>
      <c r="C44" s="77"/>
      <c r="D44" s="77"/>
    </row>
    <row r="45" spans="1:4" ht="15" customHeight="1">
      <c r="A45" s="64" t="s">
        <v>238</v>
      </c>
      <c r="B45" s="65"/>
      <c r="C45" s="77"/>
      <c r="D45" s="77"/>
    </row>
    <row r="46" spans="1:4" ht="15" customHeight="1">
      <c r="A46" s="66" t="s">
        <v>80</v>
      </c>
      <c r="B46" s="67"/>
      <c r="C46" s="77"/>
      <c r="D46" s="77"/>
    </row>
    <row r="47" spans="1:4" ht="15" customHeight="1">
      <c r="A47" s="64" t="s">
        <v>82</v>
      </c>
      <c r="B47" s="65"/>
      <c r="C47" s="77"/>
      <c r="D47" s="77"/>
    </row>
    <row r="48" spans="1:4" ht="15">
      <c r="A48" s="64" t="s">
        <v>84</v>
      </c>
      <c r="B48" s="65"/>
      <c r="C48" s="77"/>
      <c r="D48" s="77"/>
    </row>
    <row r="49" spans="1:4" ht="15" customHeight="1">
      <c r="A49" s="64" t="s">
        <v>86</v>
      </c>
      <c r="B49" s="65"/>
      <c r="C49" s="77"/>
      <c r="D49" s="77"/>
    </row>
    <row r="50" spans="1:4" ht="15" customHeight="1">
      <c r="A50" s="68" t="s">
        <v>88</v>
      </c>
      <c r="B50" s="69"/>
      <c r="C50" s="77"/>
      <c r="D50" s="77"/>
    </row>
    <row r="51" spans="1:4" ht="15">
      <c r="A51" s="390" t="s">
        <v>90</v>
      </c>
      <c r="B51" s="391"/>
      <c r="C51" s="77"/>
      <c r="D51" s="77"/>
    </row>
    <row r="52" spans="1:4" ht="15">
      <c r="A52" s="513" t="s">
        <v>1471</v>
      </c>
      <c r="B52" s="514"/>
      <c r="C52" s="72"/>
      <c r="D52" s="72">
        <v>954</v>
      </c>
    </row>
    <row r="53" spans="1:4" ht="15">
      <c r="A53" s="186" t="s">
        <v>1437</v>
      </c>
      <c r="B53" s="91"/>
      <c r="C53" s="72" t="s">
        <v>279</v>
      </c>
      <c r="D53" s="72">
        <f>0.4*130</f>
        <v>52</v>
      </c>
    </row>
    <row r="54" spans="1:4" s="73" customFormat="1" ht="17.25" customHeight="1">
      <c r="A54" s="401" t="s">
        <v>564</v>
      </c>
      <c r="B54" s="402"/>
      <c r="C54" s="105" t="s">
        <v>279</v>
      </c>
      <c r="D54" s="72">
        <v>0.4</v>
      </c>
    </row>
    <row r="55" spans="1:4" ht="15">
      <c r="A55" s="513" t="s">
        <v>1473</v>
      </c>
      <c r="B55" s="514"/>
      <c r="C55" s="72"/>
      <c r="D55" s="72">
        <f>782.64+175+1431</f>
        <v>2388.64</v>
      </c>
    </row>
    <row r="56" spans="1:4" ht="15">
      <c r="A56" s="186" t="s">
        <v>1472</v>
      </c>
      <c r="B56" s="91"/>
      <c r="C56" s="72" t="s">
        <v>592</v>
      </c>
      <c r="D56" s="72">
        <f>350+2*130</f>
        <v>610</v>
      </c>
    </row>
    <row r="57" spans="1:4" ht="15">
      <c r="A57" s="90" t="s">
        <v>1481</v>
      </c>
      <c r="B57" s="91"/>
      <c r="C57" s="72" t="s">
        <v>592</v>
      </c>
      <c r="D57" s="72">
        <f>350+130*2*7.5</f>
        <v>2300</v>
      </c>
    </row>
    <row r="58" spans="1:4" ht="15">
      <c r="A58" s="90" t="s">
        <v>1482</v>
      </c>
      <c r="B58" s="91"/>
      <c r="C58" s="72" t="s">
        <v>1483</v>
      </c>
      <c r="D58" s="72">
        <f>350+130+130*4</f>
        <v>1000</v>
      </c>
    </row>
    <row r="59" spans="1:4" ht="15">
      <c r="A59" s="90" t="s">
        <v>1484</v>
      </c>
      <c r="B59" s="91"/>
      <c r="C59" s="72" t="s">
        <v>1483</v>
      </c>
      <c r="D59" s="72">
        <f>350+130*2*4</f>
        <v>1390</v>
      </c>
    </row>
    <row r="60" spans="1:4" ht="15">
      <c r="A60" s="90" t="s">
        <v>1485</v>
      </c>
      <c r="B60" s="91"/>
      <c r="C60" s="72" t="s">
        <v>371</v>
      </c>
      <c r="D60" s="72">
        <f>2*130*2+350</f>
        <v>870</v>
      </c>
    </row>
    <row r="61" spans="1:4" ht="15">
      <c r="A61" s="90" t="s">
        <v>1486</v>
      </c>
      <c r="B61" s="91"/>
      <c r="C61" s="72" t="s">
        <v>447</v>
      </c>
      <c r="D61" s="72">
        <f>4*130*2+175</f>
        <v>1215</v>
      </c>
    </row>
    <row r="62" spans="1:4" ht="15">
      <c r="A62" s="90" t="s">
        <v>818</v>
      </c>
      <c r="B62" s="250"/>
      <c r="C62" s="72" t="s">
        <v>817</v>
      </c>
      <c r="D62" s="72">
        <f>2*130+175</f>
        <v>435</v>
      </c>
    </row>
    <row r="63" spans="1:4" ht="15" customHeight="1">
      <c r="A63" s="401" t="s">
        <v>1490</v>
      </c>
      <c r="B63" s="402"/>
      <c r="C63" s="72" t="s">
        <v>328</v>
      </c>
      <c r="D63" s="72">
        <v>8</v>
      </c>
    </row>
    <row r="64" spans="1:4" s="73" customFormat="1" ht="29.25" customHeight="1">
      <c r="A64" s="401" t="s">
        <v>483</v>
      </c>
      <c r="B64" s="402"/>
      <c r="C64" s="105" t="s">
        <v>484</v>
      </c>
      <c r="D64" s="72">
        <v>1.5</v>
      </c>
    </row>
    <row r="65" spans="1:3" s="73" customFormat="1" ht="15">
      <c r="A65" s="402" t="s">
        <v>527</v>
      </c>
      <c r="B65" s="413"/>
      <c r="C65" s="72">
        <v>2.8</v>
      </c>
    </row>
    <row r="66" spans="1:4" s="73" customFormat="1" ht="29.25" customHeight="1">
      <c r="A66" s="401" t="s">
        <v>564</v>
      </c>
      <c r="B66" s="402"/>
      <c r="C66" s="105" t="s">
        <v>279</v>
      </c>
      <c r="D66" s="72">
        <v>0.4</v>
      </c>
    </row>
    <row r="67" spans="1:4" s="73" customFormat="1" ht="15">
      <c r="A67" s="90" t="s">
        <v>1492</v>
      </c>
      <c r="B67" s="248"/>
      <c r="C67" s="72" t="s">
        <v>1493</v>
      </c>
      <c r="D67" s="72">
        <v>16</v>
      </c>
    </row>
    <row r="68" spans="1:4" s="73" customFormat="1" ht="19.5" customHeight="1">
      <c r="A68" s="401" t="s">
        <v>1494</v>
      </c>
      <c r="B68" s="402"/>
      <c r="C68" s="105" t="s">
        <v>371</v>
      </c>
      <c r="D68" s="72">
        <v>2</v>
      </c>
    </row>
    <row r="69" spans="1:4" s="73" customFormat="1" ht="15">
      <c r="A69" s="90" t="s">
        <v>1500</v>
      </c>
      <c r="B69" s="248"/>
      <c r="C69" s="72" t="s">
        <v>663</v>
      </c>
      <c r="D69" s="72">
        <v>8</v>
      </c>
    </row>
    <row r="70" spans="1:4" s="73" customFormat="1" ht="18.75" customHeight="1">
      <c r="A70" s="401" t="s">
        <v>1021</v>
      </c>
      <c r="B70" s="402"/>
      <c r="C70" s="105" t="s">
        <v>678</v>
      </c>
      <c r="D70" s="72">
        <v>4</v>
      </c>
    </row>
    <row r="71" spans="1:4" s="73" customFormat="1" ht="15">
      <c r="A71" s="402" t="s">
        <v>907</v>
      </c>
      <c r="B71" s="413"/>
      <c r="C71" s="72" t="s">
        <v>908</v>
      </c>
      <c r="D71" s="72">
        <v>1.7</v>
      </c>
    </row>
    <row r="72" spans="1:4" s="73" customFormat="1" ht="32.25" customHeight="1">
      <c r="A72" s="424" t="s">
        <v>1022</v>
      </c>
      <c r="B72" s="425"/>
      <c r="C72" s="72" t="s">
        <v>613</v>
      </c>
      <c r="D72" s="72">
        <v>2</v>
      </c>
    </row>
    <row r="73" spans="1:4" s="73" customFormat="1" ht="15">
      <c r="A73" s="402" t="s">
        <v>909</v>
      </c>
      <c r="B73" s="413"/>
      <c r="C73" s="72" t="s">
        <v>910</v>
      </c>
      <c r="D73" s="72">
        <v>1.5</v>
      </c>
    </row>
    <row r="74" spans="1:4" s="73" customFormat="1" ht="28.5" customHeight="1">
      <c r="A74" s="246" t="s">
        <v>1023</v>
      </c>
      <c r="B74" s="116"/>
      <c r="C74" s="72" t="s">
        <v>1024</v>
      </c>
      <c r="D74" s="72">
        <v>4</v>
      </c>
    </row>
    <row r="75" spans="1:4" s="73" customFormat="1" ht="32.25" customHeight="1">
      <c r="A75" s="278" t="s">
        <v>1502</v>
      </c>
      <c r="B75" s="254"/>
      <c r="C75" s="72" t="s">
        <v>1162</v>
      </c>
      <c r="D75" s="72">
        <v>3</v>
      </c>
    </row>
    <row r="76" spans="1:4" s="73" customFormat="1" ht="15">
      <c r="A76" s="90" t="s">
        <v>1503</v>
      </c>
      <c r="B76" s="248"/>
      <c r="C76" s="72" t="s">
        <v>724</v>
      </c>
      <c r="D76" s="72">
        <v>2</v>
      </c>
    </row>
    <row r="77" spans="1:4" s="73" customFormat="1" ht="19.5" customHeight="1">
      <c r="A77" s="401" t="s">
        <v>1504</v>
      </c>
      <c r="B77" s="402"/>
      <c r="C77" s="105" t="s">
        <v>360</v>
      </c>
      <c r="D77" s="72">
        <v>1</v>
      </c>
    </row>
    <row r="78" spans="1:4" s="73" customFormat="1" ht="30" customHeight="1">
      <c r="A78" s="402" t="s">
        <v>1505</v>
      </c>
      <c r="B78" s="413"/>
      <c r="C78" s="72" t="s">
        <v>279</v>
      </c>
      <c r="D78" s="72">
        <v>1</v>
      </c>
    </row>
    <row r="79" spans="1:4" s="73" customFormat="1" ht="30.75" customHeight="1" thickBot="1">
      <c r="A79" s="402" t="s">
        <v>1506</v>
      </c>
      <c r="B79" s="413"/>
      <c r="C79" s="72" t="s">
        <v>1507</v>
      </c>
      <c r="D79" s="72">
        <v>2</v>
      </c>
    </row>
    <row r="80" spans="1:4" ht="15.75" thickBot="1">
      <c r="A80" s="377" t="s">
        <v>99</v>
      </c>
      <c r="B80" s="378"/>
      <c r="C80" s="77"/>
      <c r="D80" s="77"/>
    </row>
    <row r="81" spans="1:4" ht="30.75" customHeight="1" thickBot="1">
      <c r="A81" s="501" t="s">
        <v>307</v>
      </c>
      <c r="B81" s="502"/>
      <c r="C81" s="78" t="s">
        <v>417</v>
      </c>
      <c r="D81" s="80" t="s">
        <v>418</v>
      </c>
    </row>
    <row r="82" spans="1:4" ht="15.75" thickBot="1">
      <c r="A82" s="377" t="s">
        <v>101</v>
      </c>
      <c r="B82" s="378"/>
      <c r="C82" s="77"/>
      <c r="D82" s="77"/>
    </row>
    <row r="83" spans="1:4" ht="15.75" thickBot="1">
      <c r="A83" s="443" t="s">
        <v>102</v>
      </c>
      <c r="B83" s="375"/>
      <c r="C83" s="77"/>
      <c r="D83" s="77"/>
    </row>
    <row r="84" spans="1:4" ht="15">
      <c r="A84" s="90" t="s">
        <v>1487</v>
      </c>
      <c r="B84" s="250"/>
      <c r="C84" s="72" t="s">
        <v>243</v>
      </c>
      <c r="D84" s="72">
        <f>130*3+175</f>
        <v>565</v>
      </c>
    </row>
    <row r="85" spans="1:4" ht="15">
      <c r="A85" s="90" t="s">
        <v>1488</v>
      </c>
      <c r="B85" s="250"/>
      <c r="C85" s="72" t="s">
        <v>243</v>
      </c>
      <c r="D85" s="72">
        <f>350+130*1.5</f>
        <v>545</v>
      </c>
    </row>
    <row r="86" spans="1:4" s="73" customFormat="1" ht="15">
      <c r="A86" s="246" t="s">
        <v>1491</v>
      </c>
      <c r="B86" s="116"/>
      <c r="C86" s="72" t="s">
        <v>243</v>
      </c>
      <c r="D86" s="72">
        <v>2</v>
      </c>
    </row>
    <row r="87" spans="1:4" s="73" customFormat="1" ht="15">
      <c r="A87" s="246" t="s">
        <v>1495</v>
      </c>
      <c r="B87" s="246"/>
      <c r="C87" s="72" t="s">
        <v>243</v>
      </c>
      <c r="D87" s="72">
        <v>1.5</v>
      </c>
    </row>
    <row r="88" spans="1:4" s="73" customFormat="1" ht="15">
      <c r="A88" s="246" t="s">
        <v>1025</v>
      </c>
      <c r="B88" s="251"/>
      <c r="C88" s="72" t="s">
        <v>243</v>
      </c>
      <c r="D88" s="72">
        <v>1.5</v>
      </c>
    </row>
    <row r="89" spans="1:4" s="73" customFormat="1" ht="15">
      <c r="A89" s="246" t="s">
        <v>1508</v>
      </c>
      <c r="B89" s="246"/>
      <c r="C89" s="72" t="s">
        <v>243</v>
      </c>
      <c r="D89" s="72">
        <v>2</v>
      </c>
    </row>
    <row r="90" spans="1:4" ht="15.75" thickBot="1">
      <c r="A90" s="395" t="s">
        <v>103</v>
      </c>
      <c r="B90" s="396"/>
      <c r="C90" s="77"/>
      <c r="D90" s="77"/>
    </row>
    <row r="91" spans="1:4" ht="15.75" thickBot="1">
      <c r="A91" s="397" t="s">
        <v>104</v>
      </c>
      <c r="B91" s="398"/>
      <c r="C91" s="77"/>
      <c r="D91" s="77"/>
    </row>
    <row r="92" spans="1:4" ht="15">
      <c r="A92" s="79"/>
      <c r="B92" s="79"/>
      <c r="C92" s="76"/>
      <c r="D92" s="76"/>
    </row>
    <row r="93" spans="1:4" ht="15.75">
      <c r="A93" s="394" t="s">
        <v>233</v>
      </c>
      <c r="B93" s="394"/>
      <c r="C93" s="394"/>
      <c r="D93" s="394"/>
    </row>
    <row r="94" spans="1:4" ht="15">
      <c r="A94" s="76"/>
      <c r="B94" s="76"/>
      <c r="C94" s="76"/>
      <c r="D94" s="76"/>
    </row>
    <row r="95" spans="1:4" ht="15.75">
      <c r="A95" s="394" t="s">
        <v>234</v>
      </c>
      <c r="B95" s="394"/>
      <c r="C95" s="394"/>
      <c r="D95" s="394"/>
    </row>
  </sheetData>
  <sheetProtection/>
  <mergeCells count="53">
    <mergeCell ref="A79:B79"/>
    <mergeCell ref="A71:B71"/>
    <mergeCell ref="A72:B72"/>
    <mergeCell ref="A73:B73"/>
    <mergeCell ref="A77:B77"/>
    <mergeCell ref="A78:B78"/>
    <mergeCell ref="A65:B65"/>
    <mergeCell ref="A23:B23"/>
    <mergeCell ref="A25:B25"/>
    <mergeCell ref="A26:B26"/>
    <mergeCell ref="A30:B30"/>
    <mergeCell ref="A29:B29"/>
    <mergeCell ref="A93:D93"/>
    <mergeCell ref="A95:D95"/>
    <mergeCell ref="A83:B83"/>
    <mergeCell ref="A90:B90"/>
    <mergeCell ref="A91:B91"/>
    <mergeCell ref="A82:B82"/>
    <mergeCell ref="A31:B31"/>
    <mergeCell ref="A32:B32"/>
    <mergeCell ref="A33:B33"/>
    <mergeCell ref="A34:B34"/>
    <mergeCell ref="A51:B51"/>
    <mergeCell ref="A54:B54"/>
    <mergeCell ref="A66:B66"/>
    <mergeCell ref="A80:B80"/>
    <mergeCell ref="A81:B81"/>
    <mergeCell ref="A52:B52"/>
    <mergeCell ref="A55:B55"/>
    <mergeCell ref="A68:B68"/>
    <mergeCell ref="A70:B70"/>
    <mergeCell ref="A63:B63"/>
    <mergeCell ref="A64:B64"/>
    <mergeCell ref="A8:B8"/>
    <mergeCell ref="A9:B9"/>
    <mergeCell ref="A10:B10"/>
    <mergeCell ref="A11:B11"/>
    <mergeCell ref="A12:B12"/>
    <mergeCell ref="A13:B13"/>
    <mergeCell ref="A14:B14"/>
    <mergeCell ref="A15:B15"/>
    <mergeCell ref="A22:B22"/>
    <mergeCell ref="A28:B28"/>
    <mergeCell ref="A18:B18"/>
    <mergeCell ref="A19:B19"/>
    <mergeCell ref="A20:B20"/>
    <mergeCell ref="A21:B21"/>
    <mergeCell ref="A7:B7"/>
    <mergeCell ref="A1:D1"/>
    <mergeCell ref="A2:D2"/>
    <mergeCell ref="A3:D3"/>
    <mergeCell ref="A5:B5"/>
    <mergeCell ref="A6:B6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75"/>
  <sheetViews>
    <sheetView zoomScalePageLayoutView="0" workbookViewId="0" topLeftCell="A43">
      <selection activeCell="A69" sqref="A69:IV70"/>
    </sheetView>
  </sheetViews>
  <sheetFormatPr defaultColWidth="9.140625" defaultRowHeight="15"/>
  <cols>
    <col min="1" max="1" width="80.8515625" style="0" customWidth="1"/>
    <col min="2" max="2" width="3.28125" style="0" hidden="1" customWidth="1"/>
    <col min="3" max="3" width="37.8515625" style="0" customWidth="1"/>
  </cols>
  <sheetData>
    <row r="1" spans="1:4" ht="15.75">
      <c r="A1" s="381" t="s">
        <v>959</v>
      </c>
      <c r="B1" s="381"/>
      <c r="C1" s="381"/>
      <c r="D1" s="381"/>
    </row>
    <row r="2" spans="1:4" ht="15.75">
      <c r="A2" s="382" t="s">
        <v>286</v>
      </c>
      <c r="B2" s="382"/>
      <c r="C2" s="382"/>
      <c r="D2" s="382"/>
    </row>
    <row r="3" spans="1:4" s="55" customFormat="1" ht="15.75">
      <c r="A3" s="382" t="s">
        <v>1518</v>
      </c>
      <c r="B3" s="382"/>
      <c r="C3" s="382"/>
      <c r="D3" s="382"/>
    </row>
    <row r="4" spans="1:4" s="55" customFormat="1" ht="15.75">
      <c r="A4" s="107"/>
      <c r="B4" s="107"/>
      <c r="C4" s="89"/>
      <c r="D4" s="89"/>
    </row>
    <row r="5" spans="1:4" ht="30">
      <c r="A5" s="383" t="s">
        <v>229</v>
      </c>
      <c r="B5" s="384"/>
      <c r="C5" s="86" t="s">
        <v>231</v>
      </c>
      <c r="D5" s="85" t="s">
        <v>530</v>
      </c>
    </row>
    <row r="6" spans="1:4" ht="15">
      <c r="A6" s="383" t="s">
        <v>229</v>
      </c>
      <c r="B6" s="384"/>
      <c r="C6" s="73"/>
      <c r="D6" s="73"/>
    </row>
    <row r="7" spans="1:4" ht="15.75" thickBot="1">
      <c r="A7" s="379" t="s">
        <v>0</v>
      </c>
      <c r="B7" s="380"/>
      <c r="C7" s="76"/>
      <c r="D7" s="76"/>
    </row>
    <row r="8" spans="1:4" ht="15">
      <c r="A8" s="435" t="s">
        <v>24</v>
      </c>
      <c r="B8" s="436"/>
      <c r="C8" s="77"/>
      <c r="D8" s="77"/>
    </row>
    <row r="9" spans="1:4" ht="15">
      <c r="A9" s="435" t="s">
        <v>236</v>
      </c>
      <c r="B9" s="436"/>
      <c r="C9" s="77"/>
      <c r="D9" s="77"/>
    </row>
    <row r="10" spans="1:4" ht="15.75" thickBot="1">
      <c r="A10" s="451" t="s">
        <v>28</v>
      </c>
      <c r="B10" s="445"/>
      <c r="C10" s="77"/>
      <c r="D10" s="77"/>
    </row>
    <row r="11" spans="1:4" ht="15.75" thickBot="1">
      <c r="A11" s="375" t="s">
        <v>29</v>
      </c>
      <c r="B11" s="376"/>
      <c r="C11" s="77"/>
      <c r="D11" s="77"/>
    </row>
    <row r="12" spans="1:4" ht="15">
      <c r="A12" s="433" t="s">
        <v>45</v>
      </c>
      <c r="B12" s="434"/>
      <c r="C12" s="77"/>
      <c r="D12" s="77"/>
    </row>
    <row r="13" spans="1:4" ht="15.75" thickBot="1">
      <c r="A13" s="449" t="s">
        <v>55</v>
      </c>
      <c r="B13" s="450"/>
      <c r="C13" s="77"/>
      <c r="D13" s="77"/>
    </row>
    <row r="14" spans="1:4" ht="15.75" thickBot="1">
      <c r="A14" s="377" t="s">
        <v>56</v>
      </c>
      <c r="B14" s="378"/>
      <c r="C14" s="77"/>
      <c r="D14" s="77"/>
    </row>
    <row r="15" spans="1:4" ht="15.75" thickBot="1">
      <c r="A15" s="375" t="s">
        <v>57</v>
      </c>
      <c r="B15" s="376"/>
      <c r="C15" s="77"/>
      <c r="D15" s="77"/>
    </row>
    <row r="16" spans="1:4" ht="15.75" thickBot="1">
      <c r="A16" s="90" t="s">
        <v>1510</v>
      </c>
      <c r="B16" s="275"/>
      <c r="C16" s="183" t="s">
        <v>279</v>
      </c>
      <c r="D16" s="183">
        <f>175+130*2</f>
        <v>435</v>
      </c>
    </row>
    <row r="17" spans="1:4" ht="31.5" customHeight="1" thickBot="1">
      <c r="A17" s="90" t="s">
        <v>1511</v>
      </c>
      <c r="B17" s="275"/>
      <c r="C17" s="256" t="s">
        <v>1512</v>
      </c>
      <c r="D17" s="183">
        <f>175+130*8*4+130*3</f>
        <v>4725</v>
      </c>
    </row>
    <row r="18" spans="1:4" ht="15">
      <c r="A18" s="399" t="s">
        <v>334</v>
      </c>
      <c r="B18" s="400"/>
      <c r="C18" s="181" t="s">
        <v>361</v>
      </c>
      <c r="D18" s="199">
        <f>4+5.5</f>
        <v>9.5</v>
      </c>
    </row>
    <row r="19" spans="1:4" ht="15">
      <c r="A19" s="514" t="s">
        <v>1516</v>
      </c>
      <c r="B19" s="515"/>
      <c r="C19" s="181" t="s">
        <v>1517</v>
      </c>
      <c r="D19" s="199">
        <v>12</v>
      </c>
    </row>
    <row r="20" spans="1:4" ht="15" customHeight="1">
      <c r="A20" s="399" t="s">
        <v>340</v>
      </c>
      <c r="B20" s="400"/>
      <c r="C20" s="181" t="s">
        <v>387</v>
      </c>
      <c r="D20" s="199">
        <f>6+6+6</f>
        <v>18</v>
      </c>
    </row>
    <row r="21" spans="1:4" ht="15">
      <c r="A21" s="400" t="s">
        <v>348</v>
      </c>
      <c r="B21" s="448"/>
      <c r="C21" s="181" t="s">
        <v>388</v>
      </c>
      <c r="D21" s="199">
        <f>3+3+2</f>
        <v>8</v>
      </c>
    </row>
    <row r="22" spans="1:4" s="73" customFormat="1" ht="15">
      <c r="A22" s="399" t="s">
        <v>1457</v>
      </c>
      <c r="B22" s="400"/>
      <c r="C22" s="72" t="s">
        <v>1458</v>
      </c>
      <c r="D22" s="72">
        <v>15</v>
      </c>
    </row>
    <row r="23" spans="1:4" s="73" customFormat="1" ht="15">
      <c r="A23" s="72" t="s">
        <v>1459</v>
      </c>
      <c r="B23" s="72"/>
      <c r="C23" s="72" t="s">
        <v>1460</v>
      </c>
      <c r="D23" s="72">
        <v>1.8</v>
      </c>
    </row>
    <row r="24" spans="1:4" s="73" customFormat="1" ht="15">
      <c r="A24" s="400" t="s">
        <v>1461</v>
      </c>
      <c r="B24" s="448"/>
      <c r="C24" s="72" t="s">
        <v>1462</v>
      </c>
      <c r="D24" s="72">
        <v>2</v>
      </c>
    </row>
    <row r="25" spans="1:4" s="73" customFormat="1" ht="15">
      <c r="A25" s="399" t="s">
        <v>1520</v>
      </c>
      <c r="B25" s="400"/>
      <c r="C25" s="72" t="s">
        <v>1521</v>
      </c>
      <c r="D25" s="72">
        <v>5</v>
      </c>
    </row>
    <row r="26" spans="1:4" ht="15" customHeight="1">
      <c r="A26" s="436" t="s">
        <v>62</v>
      </c>
      <c r="B26" s="447"/>
      <c r="C26" s="77"/>
      <c r="D26" s="77"/>
    </row>
    <row r="27" spans="1:4" ht="15.75" customHeight="1" thickBot="1">
      <c r="A27" s="445" t="s">
        <v>63</v>
      </c>
      <c r="B27" s="446"/>
      <c r="C27" s="77"/>
      <c r="D27" s="77"/>
    </row>
    <row r="28" spans="1:4" ht="15.75" thickBot="1">
      <c r="A28" s="387" t="s">
        <v>64</v>
      </c>
      <c r="B28" s="377"/>
      <c r="C28" s="77"/>
      <c r="D28" s="77"/>
    </row>
    <row r="29" spans="1:4" ht="15">
      <c r="A29" s="388" t="s">
        <v>66</v>
      </c>
      <c r="B29" s="389"/>
      <c r="C29" s="77"/>
      <c r="D29" s="77"/>
    </row>
    <row r="30" spans="1:4" ht="15">
      <c r="A30" s="60" t="s">
        <v>68</v>
      </c>
      <c r="B30" s="61"/>
      <c r="C30" s="77"/>
      <c r="D30" s="77"/>
    </row>
    <row r="31" spans="1:4" ht="15">
      <c r="A31" s="87" t="s">
        <v>1513</v>
      </c>
      <c r="B31" s="93"/>
      <c r="C31" s="72" t="s">
        <v>371</v>
      </c>
      <c r="D31" s="72">
        <f>350+130*2*4</f>
        <v>1390</v>
      </c>
    </row>
    <row r="32" spans="1:4" s="73" customFormat="1" ht="16.5" customHeight="1">
      <c r="A32" s="244" t="s">
        <v>1304</v>
      </c>
      <c r="B32" s="245"/>
      <c r="C32" s="105" t="s">
        <v>1162</v>
      </c>
      <c r="D32" s="72">
        <v>1</v>
      </c>
    </row>
    <row r="33" spans="1:4" ht="15" customHeight="1">
      <c r="A33" s="62" t="s">
        <v>74</v>
      </c>
      <c r="B33" s="63"/>
      <c r="C33" s="77"/>
      <c r="D33" s="77"/>
    </row>
    <row r="34" spans="1:4" ht="15">
      <c r="A34" s="62" t="s">
        <v>237</v>
      </c>
      <c r="B34" s="63"/>
      <c r="C34" s="77"/>
      <c r="D34" s="77"/>
    </row>
    <row r="35" spans="1:4" ht="15" customHeight="1">
      <c r="A35" s="64" t="s">
        <v>238</v>
      </c>
      <c r="B35" s="65"/>
      <c r="C35" s="77"/>
      <c r="D35" s="77"/>
    </row>
    <row r="36" spans="1:4" ht="15" customHeight="1">
      <c r="A36" s="66" t="s">
        <v>80</v>
      </c>
      <c r="B36" s="67"/>
      <c r="C36" s="77"/>
      <c r="D36" s="77"/>
    </row>
    <row r="37" spans="1:4" ht="15" customHeight="1">
      <c r="A37" s="64" t="s">
        <v>82</v>
      </c>
      <c r="B37" s="65"/>
      <c r="C37" s="77"/>
      <c r="D37" s="77"/>
    </row>
    <row r="38" spans="1:4" ht="15">
      <c r="A38" s="64" t="s">
        <v>84</v>
      </c>
      <c r="B38" s="65"/>
      <c r="C38" s="77"/>
      <c r="D38" s="77"/>
    </row>
    <row r="39" spans="1:4" ht="15" customHeight="1">
      <c r="A39" s="64" t="s">
        <v>86</v>
      </c>
      <c r="B39" s="65"/>
      <c r="C39" s="77"/>
      <c r="D39" s="77"/>
    </row>
    <row r="40" spans="1:4" ht="15" customHeight="1">
      <c r="A40" s="68" t="s">
        <v>88</v>
      </c>
      <c r="B40" s="69"/>
      <c r="C40" s="77"/>
      <c r="D40" s="77"/>
    </row>
    <row r="41" spans="1:4" ht="15">
      <c r="A41" s="390" t="s">
        <v>90</v>
      </c>
      <c r="B41" s="391"/>
      <c r="C41" s="77"/>
      <c r="D41" s="77"/>
    </row>
    <row r="42" spans="1:4" ht="15">
      <c r="A42" s="513" t="s">
        <v>1509</v>
      </c>
      <c r="B42" s="514"/>
      <c r="C42" s="72"/>
      <c r="D42" s="72">
        <v>238.5</v>
      </c>
    </row>
    <row r="43" spans="1:4" ht="15">
      <c r="A43" s="186" t="s">
        <v>1437</v>
      </c>
      <c r="B43" s="91"/>
      <c r="C43" s="72" t="s">
        <v>279</v>
      </c>
      <c r="D43" s="72">
        <f>0.4*130</f>
        <v>52</v>
      </c>
    </row>
    <row r="44" spans="1:4" ht="15">
      <c r="A44" s="90" t="s">
        <v>1514</v>
      </c>
      <c r="B44" s="91"/>
      <c r="C44" s="72" t="s">
        <v>328</v>
      </c>
      <c r="D44" s="72">
        <f>175+130*2</f>
        <v>435</v>
      </c>
    </row>
    <row r="45" spans="1:4" ht="15">
      <c r="A45" s="90" t="s">
        <v>818</v>
      </c>
      <c r="B45" s="250"/>
      <c r="C45" s="72" t="s">
        <v>378</v>
      </c>
      <c r="D45" s="72">
        <f>2*130+175</f>
        <v>435</v>
      </c>
    </row>
    <row r="46" spans="1:6" ht="15" customHeight="1">
      <c r="A46" s="401" t="s">
        <v>1519</v>
      </c>
      <c r="B46" s="402"/>
      <c r="C46" s="72" t="s">
        <v>431</v>
      </c>
      <c r="D46" s="72">
        <v>2</v>
      </c>
      <c r="F46" s="73"/>
    </row>
    <row r="47" spans="1:4" s="73" customFormat="1" ht="15" customHeight="1">
      <c r="A47" s="402" t="s">
        <v>477</v>
      </c>
      <c r="B47" s="413"/>
      <c r="C47" s="72" t="s">
        <v>476</v>
      </c>
      <c r="D47" s="72">
        <v>2</v>
      </c>
    </row>
    <row r="48" spans="1:4" s="73" customFormat="1" ht="29.25" customHeight="1">
      <c r="A48" s="401" t="s">
        <v>483</v>
      </c>
      <c r="B48" s="402"/>
      <c r="C48" s="105" t="s">
        <v>484</v>
      </c>
      <c r="D48" s="72">
        <v>1.5</v>
      </c>
    </row>
    <row r="49" spans="1:4" s="73" customFormat="1" ht="32.25" customHeight="1">
      <c r="A49" s="424" t="s">
        <v>498</v>
      </c>
      <c r="B49" s="425"/>
      <c r="C49" s="72" t="s">
        <v>499</v>
      </c>
      <c r="D49" s="72">
        <v>4</v>
      </c>
    </row>
    <row r="50" spans="1:4" s="73" customFormat="1" ht="20.25" customHeight="1">
      <c r="A50" s="401" t="s">
        <v>502</v>
      </c>
      <c r="B50" s="401"/>
      <c r="C50" s="72" t="s">
        <v>471</v>
      </c>
      <c r="D50" s="72">
        <v>2</v>
      </c>
    </row>
    <row r="51" spans="1:4" s="73" customFormat="1" ht="32.25" customHeight="1">
      <c r="A51" s="246" t="s">
        <v>503</v>
      </c>
      <c r="B51" s="246"/>
      <c r="C51" s="72" t="s">
        <v>504</v>
      </c>
      <c r="D51" s="72">
        <v>15</v>
      </c>
    </row>
    <row r="52" spans="1:4" s="73" customFormat="1" ht="22.5" customHeight="1">
      <c r="A52" s="246" t="s">
        <v>514</v>
      </c>
      <c r="B52" s="246"/>
      <c r="C52" s="72" t="s">
        <v>499</v>
      </c>
      <c r="D52" s="72">
        <v>6</v>
      </c>
    </row>
    <row r="53" spans="1:4" s="73" customFormat="1" ht="15">
      <c r="A53" s="402" t="s">
        <v>527</v>
      </c>
      <c r="B53" s="413"/>
      <c r="C53" s="72" t="s">
        <v>528</v>
      </c>
      <c r="D53" s="72">
        <v>2.8</v>
      </c>
    </row>
    <row r="54" spans="1:4" s="73" customFormat="1" ht="18.75" customHeight="1">
      <c r="A54" s="401" t="s">
        <v>564</v>
      </c>
      <c r="B54" s="402"/>
      <c r="C54" s="105" t="s">
        <v>279</v>
      </c>
      <c r="D54" s="72">
        <v>0.4</v>
      </c>
    </row>
    <row r="55" spans="1:4" s="94" customFormat="1" ht="21.75" customHeight="1">
      <c r="A55" s="428" t="s">
        <v>902</v>
      </c>
      <c r="B55" s="429"/>
      <c r="C55" s="220" t="s">
        <v>378</v>
      </c>
      <c r="D55" s="199">
        <v>1</v>
      </c>
    </row>
    <row r="56" spans="1:4" s="73" customFormat="1" ht="33" customHeight="1">
      <c r="A56" s="244" t="s">
        <v>905</v>
      </c>
      <c r="B56" s="245"/>
      <c r="C56" s="105" t="s">
        <v>906</v>
      </c>
      <c r="D56" s="72">
        <v>1.2</v>
      </c>
    </row>
    <row r="57" spans="1:4" s="73" customFormat="1" ht="32.25" customHeight="1">
      <c r="A57" s="439" t="s">
        <v>498</v>
      </c>
      <c r="B57" s="440"/>
      <c r="C57" s="77" t="s">
        <v>499</v>
      </c>
      <c r="D57" s="77">
        <v>4</v>
      </c>
    </row>
    <row r="58" spans="1:4" s="73" customFormat="1" ht="20.25" customHeight="1">
      <c r="A58" s="444" t="s">
        <v>502</v>
      </c>
      <c r="B58" s="444"/>
      <c r="C58" s="77" t="s">
        <v>471</v>
      </c>
      <c r="D58" s="77">
        <v>2</v>
      </c>
    </row>
    <row r="59" spans="1:4" s="73" customFormat="1" ht="32.25" customHeight="1">
      <c r="A59" s="98" t="s">
        <v>503</v>
      </c>
      <c r="B59" s="98"/>
      <c r="C59" s="77" t="s">
        <v>504</v>
      </c>
      <c r="D59" s="77">
        <v>15</v>
      </c>
    </row>
    <row r="60" spans="1:4" s="73" customFormat="1" ht="22.5" customHeight="1">
      <c r="A60" s="98" t="s">
        <v>514</v>
      </c>
      <c r="B60" s="98"/>
      <c r="C60" s="77" t="s">
        <v>499</v>
      </c>
      <c r="D60" s="77">
        <v>6</v>
      </c>
    </row>
    <row r="61" spans="1:4" s="73" customFormat="1" ht="15">
      <c r="A61" s="437" t="s">
        <v>527</v>
      </c>
      <c r="B61" s="438"/>
      <c r="C61" s="77" t="s">
        <v>528</v>
      </c>
      <c r="D61" s="77">
        <v>2.8</v>
      </c>
    </row>
    <row r="62" spans="1:4" ht="15.75" thickBot="1">
      <c r="A62" s="452" t="s">
        <v>99</v>
      </c>
      <c r="B62" s="505"/>
      <c r="C62" s="77"/>
      <c r="D62" s="77"/>
    </row>
    <row r="63" spans="1:4" ht="15.75" thickBot="1">
      <c r="A63" s="392" t="s">
        <v>100</v>
      </c>
      <c r="B63" s="393"/>
      <c r="C63" s="77"/>
      <c r="D63" s="77"/>
    </row>
    <row r="64" spans="1:4" ht="15">
      <c r="A64" s="385" t="s">
        <v>101</v>
      </c>
      <c r="B64" s="386"/>
      <c r="C64" s="77"/>
      <c r="D64" s="77"/>
    </row>
    <row r="65" spans="1:4" ht="15">
      <c r="A65" s="390" t="s">
        <v>102</v>
      </c>
      <c r="B65" s="390"/>
      <c r="C65" s="77"/>
      <c r="D65" s="77"/>
    </row>
    <row r="66" spans="1:4" ht="28.5">
      <c r="A66" s="90" t="s">
        <v>1515</v>
      </c>
      <c r="B66" s="250"/>
      <c r="C66" s="72" t="s">
        <v>243</v>
      </c>
      <c r="D66" s="72">
        <f>175+130*2</f>
        <v>435</v>
      </c>
    </row>
    <row r="67" spans="1:4" s="73" customFormat="1" ht="15">
      <c r="A67" s="246" t="s">
        <v>452</v>
      </c>
      <c r="B67" s="116"/>
      <c r="C67" s="72" t="s">
        <v>243</v>
      </c>
      <c r="D67" s="72">
        <v>2.5</v>
      </c>
    </row>
    <row r="68" spans="1:4" s="73" customFormat="1" ht="15">
      <c r="A68" s="90" t="s">
        <v>1466</v>
      </c>
      <c r="B68" s="91"/>
      <c r="C68" s="72" t="s">
        <v>243</v>
      </c>
      <c r="D68" s="72">
        <v>1</v>
      </c>
    </row>
    <row r="69" spans="1:4" s="73" customFormat="1" ht="15">
      <c r="A69" s="246" t="s">
        <v>1508</v>
      </c>
      <c r="B69" s="246"/>
      <c r="C69" s="72" t="s">
        <v>243</v>
      </c>
      <c r="D69" s="72">
        <v>2</v>
      </c>
    </row>
    <row r="70" spans="1:4" s="73" customFormat="1" ht="15.75" thickBot="1">
      <c r="A70" s="246" t="s">
        <v>1522</v>
      </c>
      <c r="B70" s="116"/>
      <c r="C70" s="72" t="s">
        <v>243</v>
      </c>
      <c r="D70" s="72">
        <v>1.5</v>
      </c>
    </row>
    <row r="71" spans="1:4" ht="15.75" thickBot="1">
      <c r="A71" s="397" t="s">
        <v>104</v>
      </c>
      <c r="B71" s="398"/>
      <c r="C71" s="77"/>
      <c r="D71" s="77"/>
    </row>
    <row r="72" spans="1:4" ht="15">
      <c r="A72" s="79"/>
      <c r="B72" s="79"/>
      <c r="C72" s="76"/>
      <c r="D72" s="76"/>
    </row>
    <row r="73" spans="1:4" ht="15.75">
      <c r="A73" s="394" t="s">
        <v>233</v>
      </c>
      <c r="B73" s="394"/>
      <c r="C73" s="394"/>
      <c r="D73" s="394"/>
    </row>
    <row r="74" spans="1:4" ht="15">
      <c r="A74" s="76"/>
      <c r="B74" s="76"/>
      <c r="C74" s="76"/>
      <c r="D74" s="76"/>
    </row>
    <row r="75" spans="1:4" ht="15.75">
      <c r="A75" s="394" t="s">
        <v>234</v>
      </c>
      <c r="B75" s="394"/>
      <c r="C75" s="394"/>
      <c r="D75" s="394"/>
    </row>
  </sheetData>
  <sheetProtection/>
  <mergeCells count="45">
    <mergeCell ref="A48:B48"/>
    <mergeCell ref="A49:B49"/>
    <mergeCell ref="A50:B50"/>
    <mergeCell ref="A53:B53"/>
    <mergeCell ref="A22:B22"/>
    <mergeCell ref="A24:B24"/>
    <mergeCell ref="A73:D73"/>
    <mergeCell ref="A75:D75"/>
    <mergeCell ref="A55:B55"/>
    <mergeCell ref="A57:B57"/>
    <mergeCell ref="A62:B62"/>
    <mergeCell ref="A63:B63"/>
    <mergeCell ref="A64:B64"/>
    <mergeCell ref="A65:B65"/>
    <mergeCell ref="A71:B71"/>
    <mergeCell ref="A58:B58"/>
    <mergeCell ref="A61:B61"/>
    <mergeCell ref="A54:B54"/>
    <mergeCell ref="A14:B14"/>
    <mergeCell ref="A15:B15"/>
    <mergeCell ref="A18:B18"/>
    <mergeCell ref="A20:B20"/>
    <mergeCell ref="A21:B21"/>
    <mergeCell ref="A25:B25"/>
    <mergeCell ref="A26:B26"/>
    <mergeCell ref="A27:B27"/>
    <mergeCell ref="A28:B28"/>
    <mergeCell ref="A29:B29"/>
    <mergeCell ref="A41:B41"/>
    <mergeCell ref="A42:B42"/>
    <mergeCell ref="A19:B19"/>
    <mergeCell ref="A46:B46"/>
    <mergeCell ref="A47:B47"/>
    <mergeCell ref="A13:B13"/>
    <mergeCell ref="A1:D1"/>
    <mergeCell ref="A2:D2"/>
    <mergeCell ref="A3:D3"/>
    <mergeCell ref="A5:B5"/>
    <mergeCell ref="A6:B6"/>
    <mergeCell ref="A7:B7"/>
    <mergeCell ref="A8:B8"/>
    <mergeCell ref="A9:B9"/>
    <mergeCell ref="A10:B10"/>
    <mergeCell ref="A11:B11"/>
    <mergeCell ref="A12:B12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88"/>
  <sheetViews>
    <sheetView zoomScalePageLayoutView="0" workbookViewId="0" topLeftCell="A64">
      <selection activeCell="A81" sqref="A81:IV82"/>
    </sheetView>
  </sheetViews>
  <sheetFormatPr defaultColWidth="9.140625" defaultRowHeight="15"/>
  <cols>
    <col min="1" max="1" width="80.8515625" style="0" customWidth="1"/>
    <col min="2" max="2" width="3.28125" style="0" hidden="1" customWidth="1"/>
    <col min="3" max="3" width="28.8515625" style="0" customWidth="1"/>
  </cols>
  <sheetData>
    <row r="1" spans="1:4" ht="15.75">
      <c r="A1" s="381" t="s">
        <v>959</v>
      </c>
      <c r="B1" s="381"/>
      <c r="C1" s="381"/>
      <c r="D1" s="381"/>
    </row>
    <row r="2" spans="1:4" ht="15.75">
      <c r="A2" s="382" t="s">
        <v>323</v>
      </c>
      <c r="B2" s="382"/>
      <c r="C2" s="382"/>
      <c r="D2" s="382"/>
    </row>
    <row r="3" spans="1:4" s="55" customFormat="1" ht="15.75">
      <c r="A3" s="382" t="s">
        <v>1523</v>
      </c>
      <c r="B3" s="382"/>
      <c r="C3" s="382"/>
      <c r="D3" s="382"/>
    </row>
    <row r="4" spans="1:4" s="55" customFormat="1" ht="15.75">
      <c r="A4" s="107"/>
      <c r="B4" s="107"/>
      <c r="C4" s="89"/>
      <c r="D4" s="89"/>
    </row>
    <row r="5" spans="1:4" ht="45">
      <c r="A5" s="383" t="s">
        <v>229</v>
      </c>
      <c r="B5" s="384"/>
      <c r="C5" s="86" t="s">
        <v>231</v>
      </c>
      <c r="D5" s="85" t="s">
        <v>232</v>
      </c>
    </row>
    <row r="6" spans="1:4" ht="15">
      <c r="A6" s="383" t="s">
        <v>229</v>
      </c>
      <c r="B6" s="384"/>
      <c r="C6" s="73"/>
      <c r="D6" s="73"/>
    </row>
    <row r="7" spans="1:4" ht="15.75" thickBot="1">
      <c r="A7" s="523" t="s">
        <v>0</v>
      </c>
      <c r="B7" s="524"/>
      <c r="C7" s="136"/>
      <c r="D7" s="136"/>
    </row>
    <row r="8" spans="1:4" ht="15">
      <c r="A8" s="474" t="s">
        <v>24</v>
      </c>
      <c r="B8" s="475"/>
      <c r="C8" s="109"/>
      <c r="D8" s="109"/>
    </row>
    <row r="9" spans="1:4" ht="15">
      <c r="A9" s="474" t="s">
        <v>647</v>
      </c>
      <c r="B9" s="475"/>
      <c r="C9" s="109"/>
      <c r="D9" s="109"/>
    </row>
    <row r="10" spans="1:4" ht="15.75" thickBot="1">
      <c r="A10" s="476" t="s">
        <v>28</v>
      </c>
      <c r="B10" s="477"/>
      <c r="C10" s="109"/>
      <c r="D10" s="109"/>
    </row>
    <row r="11" spans="1:4" ht="15.75" thickBot="1">
      <c r="A11" s="478" t="s">
        <v>29</v>
      </c>
      <c r="B11" s="479"/>
      <c r="C11" s="109"/>
      <c r="D11" s="109"/>
    </row>
    <row r="12" spans="1:4" ht="15">
      <c r="A12" s="480" t="s">
        <v>45</v>
      </c>
      <c r="B12" s="481"/>
      <c r="C12" s="109"/>
      <c r="D12" s="109"/>
    </row>
    <row r="13" spans="1:4" ht="15.75" thickBot="1">
      <c r="A13" s="472" t="s">
        <v>55</v>
      </c>
      <c r="B13" s="473"/>
      <c r="C13" s="109"/>
      <c r="D13" s="109"/>
    </row>
    <row r="14" spans="1:4" ht="15.75" thickBot="1">
      <c r="A14" s="485" t="s">
        <v>56</v>
      </c>
      <c r="B14" s="490"/>
      <c r="C14" s="109"/>
      <c r="D14" s="109"/>
    </row>
    <row r="15" spans="1:4" ht="15.75" thickBot="1">
      <c r="A15" s="478" t="s">
        <v>57</v>
      </c>
      <c r="B15" s="479"/>
      <c r="C15" s="109"/>
      <c r="D15" s="109"/>
    </row>
    <row r="16" spans="1:4" ht="15.75" thickBot="1">
      <c r="A16" s="407" t="s">
        <v>1526</v>
      </c>
      <c r="B16" s="408"/>
      <c r="C16" s="183"/>
      <c r="D16" s="183">
        <f>577+130*4+175</f>
        <v>1272</v>
      </c>
    </row>
    <row r="17" spans="1:4" ht="30.75" thickBot="1">
      <c r="A17" s="249" t="s">
        <v>1528</v>
      </c>
      <c r="B17" s="275"/>
      <c r="C17" s="256" t="s">
        <v>1529</v>
      </c>
      <c r="D17" s="183">
        <f>175+130*7*2+130*5</f>
        <v>2645</v>
      </c>
    </row>
    <row r="18" spans="1:4" ht="31.5" customHeight="1" thickBot="1">
      <c r="A18" s="249" t="s">
        <v>1530</v>
      </c>
      <c r="B18" s="275"/>
      <c r="C18" s="256" t="s">
        <v>1442</v>
      </c>
      <c r="D18" s="183">
        <f>130*8*3+175</f>
        <v>3295</v>
      </c>
    </row>
    <row r="19" spans="1:4" s="73" customFormat="1" ht="15">
      <c r="A19" s="399" t="s">
        <v>1457</v>
      </c>
      <c r="B19" s="400"/>
      <c r="C19" s="72" t="s">
        <v>1458</v>
      </c>
      <c r="D19" s="72">
        <v>15</v>
      </c>
    </row>
    <row r="20" spans="1:4" s="73" customFormat="1" ht="15">
      <c r="A20" s="72" t="s">
        <v>1459</v>
      </c>
      <c r="B20" s="72"/>
      <c r="C20" s="72" t="s">
        <v>1460</v>
      </c>
      <c r="D20" s="72">
        <v>1.8</v>
      </c>
    </row>
    <row r="21" spans="1:4" s="73" customFormat="1" ht="15">
      <c r="A21" s="400" t="s">
        <v>1461</v>
      </c>
      <c r="B21" s="448"/>
      <c r="C21" s="72" t="s">
        <v>1462</v>
      </c>
      <c r="D21" s="72">
        <v>2</v>
      </c>
    </row>
    <row r="22" spans="1:4" s="73" customFormat="1" ht="15">
      <c r="A22" s="399" t="s">
        <v>1546</v>
      </c>
      <c r="B22" s="400"/>
      <c r="C22" s="72" t="s">
        <v>400</v>
      </c>
      <c r="D22" s="72">
        <v>4</v>
      </c>
    </row>
    <row r="23" spans="1:4" s="73" customFormat="1" ht="15">
      <c r="A23" s="399" t="s">
        <v>1555</v>
      </c>
      <c r="B23" s="400"/>
      <c r="C23" s="72" t="s">
        <v>682</v>
      </c>
      <c r="D23" s="72">
        <v>4.5</v>
      </c>
    </row>
    <row r="24" spans="1:4" s="73" customFormat="1" ht="15">
      <c r="A24" s="399" t="s">
        <v>1556</v>
      </c>
      <c r="B24" s="400"/>
      <c r="C24" s="72" t="s">
        <v>1521</v>
      </c>
      <c r="D24" s="72">
        <v>5</v>
      </c>
    </row>
    <row r="25" spans="1:4" ht="15" customHeight="1">
      <c r="A25" s="475" t="s">
        <v>62</v>
      </c>
      <c r="B25" s="482"/>
      <c r="C25" s="109"/>
      <c r="D25" s="109"/>
    </row>
    <row r="26" spans="1:4" ht="15.75" customHeight="1" thickBot="1">
      <c r="A26" s="477" t="s">
        <v>63</v>
      </c>
      <c r="B26" s="483"/>
      <c r="C26" s="109"/>
      <c r="D26" s="109"/>
    </row>
    <row r="27" spans="1:4" ht="15.75" thickBot="1">
      <c r="A27" s="484" t="s">
        <v>64</v>
      </c>
      <c r="B27" s="485"/>
      <c r="C27" s="109"/>
      <c r="D27" s="109"/>
    </row>
    <row r="28" spans="1:4" ht="15">
      <c r="A28" s="486" t="s">
        <v>66</v>
      </c>
      <c r="B28" s="487"/>
      <c r="C28" s="109"/>
      <c r="D28" s="109"/>
    </row>
    <row r="29" spans="1:4" ht="15">
      <c r="A29" s="137" t="s">
        <v>68</v>
      </c>
      <c r="B29" s="138"/>
      <c r="C29" s="109"/>
      <c r="D29" s="109"/>
    </row>
    <row r="30" spans="1:4" ht="15">
      <c r="A30" s="193" t="s">
        <v>1531</v>
      </c>
      <c r="B30" s="269"/>
      <c r="C30" s="72" t="s">
        <v>1532</v>
      </c>
      <c r="D30" s="72">
        <f>175+130</f>
        <v>305</v>
      </c>
    </row>
    <row r="31" spans="1:4" ht="15" customHeight="1">
      <c r="A31" s="87" t="s">
        <v>324</v>
      </c>
      <c r="B31" s="140"/>
      <c r="C31" s="181" t="s">
        <v>371</v>
      </c>
      <c r="D31" s="199">
        <f>6+6</f>
        <v>12</v>
      </c>
    </row>
    <row r="32" spans="1:4" s="73" customFormat="1" ht="16.5" customHeight="1">
      <c r="A32" s="244" t="s">
        <v>1304</v>
      </c>
      <c r="B32" s="245"/>
      <c r="C32" s="105" t="s">
        <v>1162</v>
      </c>
      <c r="D32" s="72">
        <v>1</v>
      </c>
    </row>
    <row r="33" spans="1:4" ht="15">
      <c r="A33" s="142" t="s">
        <v>648</v>
      </c>
      <c r="B33" s="140"/>
      <c r="C33" s="109"/>
      <c r="D33" s="109"/>
    </row>
    <row r="34" spans="1:4" ht="15" customHeight="1">
      <c r="A34" s="143" t="s">
        <v>645</v>
      </c>
      <c r="B34" s="144"/>
      <c r="C34" s="109"/>
      <c r="D34" s="109"/>
    </row>
    <row r="35" spans="1:4" ht="15" customHeight="1">
      <c r="A35" s="145" t="s">
        <v>80</v>
      </c>
      <c r="B35" s="146"/>
      <c r="C35" s="109"/>
      <c r="D35" s="109"/>
    </row>
    <row r="36" spans="1:4" ht="15" customHeight="1">
      <c r="A36" s="143" t="s">
        <v>82</v>
      </c>
      <c r="B36" s="144"/>
      <c r="C36" s="109"/>
      <c r="D36" s="109"/>
    </row>
    <row r="37" spans="1:4" ht="15">
      <c r="A37" s="143" t="s">
        <v>84</v>
      </c>
      <c r="B37" s="144"/>
      <c r="C37" s="109"/>
      <c r="D37" s="109"/>
    </row>
    <row r="38" spans="1:4" ht="15" customHeight="1">
      <c r="A38" s="143" t="s">
        <v>86</v>
      </c>
      <c r="B38" s="144"/>
      <c r="C38" s="109"/>
      <c r="D38" s="109"/>
    </row>
    <row r="39" spans="1:4" ht="15" customHeight="1">
      <c r="A39" s="147" t="s">
        <v>88</v>
      </c>
      <c r="B39" s="148"/>
      <c r="C39" s="109"/>
      <c r="D39" s="109"/>
    </row>
    <row r="40" spans="1:4" ht="15">
      <c r="A40" s="488" t="s">
        <v>90</v>
      </c>
      <c r="B40" s="489"/>
      <c r="C40" s="109"/>
      <c r="D40" s="109"/>
    </row>
    <row r="41" spans="1:4" ht="30">
      <c r="A41" s="246" t="s">
        <v>1524</v>
      </c>
      <c r="B41" s="246"/>
      <c r="C41" s="105" t="s">
        <v>1525</v>
      </c>
      <c r="D41" s="72">
        <f>2*130*3+175</f>
        <v>955</v>
      </c>
    </row>
    <row r="42" spans="1:4" ht="15">
      <c r="A42" s="186" t="s">
        <v>1437</v>
      </c>
      <c r="B42" s="91"/>
      <c r="C42" s="72" t="s">
        <v>279</v>
      </c>
      <c r="D42" s="72">
        <f>0.4*130</f>
        <v>52</v>
      </c>
    </row>
    <row r="43" spans="1:4" ht="15">
      <c r="A43" s="90" t="s">
        <v>818</v>
      </c>
      <c r="B43" s="250"/>
      <c r="C43" s="72" t="s">
        <v>817</v>
      </c>
      <c r="D43" s="72">
        <f>2*130+175</f>
        <v>435</v>
      </c>
    </row>
    <row r="44" spans="1:4" ht="32.25" customHeight="1">
      <c r="A44" s="401" t="s">
        <v>1537</v>
      </c>
      <c r="B44" s="402"/>
      <c r="C44" s="105" t="s">
        <v>433</v>
      </c>
      <c r="D44" s="72">
        <f>4+4</f>
        <v>8</v>
      </c>
    </row>
    <row r="45" spans="1:4" s="73" customFormat="1" ht="29.25" customHeight="1">
      <c r="A45" s="401" t="s">
        <v>483</v>
      </c>
      <c r="B45" s="402"/>
      <c r="C45" s="105" t="s">
        <v>484</v>
      </c>
      <c r="D45" s="72">
        <v>1.5</v>
      </c>
    </row>
    <row r="46" spans="1:4" s="73" customFormat="1" ht="15">
      <c r="A46" s="402" t="s">
        <v>527</v>
      </c>
      <c r="B46" s="413"/>
      <c r="C46" s="72" t="s">
        <v>528</v>
      </c>
      <c r="D46" s="72">
        <v>2.8</v>
      </c>
    </row>
    <row r="47" spans="1:4" s="73" customFormat="1" ht="15">
      <c r="A47" s="402" t="s">
        <v>534</v>
      </c>
      <c r="B47" s="413"/>
      <c r="C47" s="72" t="s">
        <v>461</v>
      </c>
      <c r="D47" s="72">
        <f>1+1</f>
        <v>2</v>
      </c>
    </row>
    <row r="48" spans="1:4" s="73" customFormat="1" ht="18.75" customHeight="1">
      <c r="A48" s="401" t="s">
        <v>564</v>
      </c>
      <c r="B48" s="402"/>
      <c r="C48" s="105" t="s">
        <v>279</v>
      </c>
      <c r="D48" s="72">
        <v>0.4</v>
      </c>
    </row>
    <row r="49" spans="1:4" s="73" customFormat="1" ht="15">
      <c r="A49" s="402" t="s">
        <v>589</v>
      </c>
      <c r="B49" s="413"/>
      <c r="C49" s="72" t="s">
        <v>592</v>
      </c>
      <c r="D49" s="72">
        <v>8</v>
      </c>
    </row>
    <row r="50" spans="1:4" s="73" customFormat="1" ht="15">
      <c r="A50" s="402" t="s">
        <v>590</v>
      </c>
      <c r="B50" s="413"/>
      <c r="C50" s="72" t="s">
        <v>592</v>
      </c>
      <c r="D50" s="72">
        <v>4</v>
      </c>
    </row>
    <row r="51" spans="1:4" s="73" customFormat="1" ht="30" customHeight="1">
      <c r="A51" s="401" t="s">
        <v>1543</v>
      </c>
      <c r="B51" s="402"/>
      <c r="C51" s="105" t="s">
        <v>1544</v>
      </c>
      <c r="D51" s="72">
        <v>8</v>
      </c>
    </row>
    <row r="52" spans="1:4" s="94" customFormat="1" ht="21.75" customHeight="1">
      <c r="A52" s="428" t="s">
        <v>902</v>
      </c>
      <c r="B52" s="429"/>
      <c r="C52" s="220" t="s">
        <v>378</v>
      </c>
      <c r="D52" s="199">
        <v>1</v>
      </c>
    </row>
    <row r="53" spans="1:4" s="73" customFormat="1" ht="33" customHeight="1">
      <c r="A53" s="244" t="s">
        <v>905</v>
      </c>
      <c r="B53" s="245"/>
      <c r="C53" s="105" t="s">
        <v>906</v>
      </c>
      <c r="D53" s="72">
        <v>1.2</v>
      </c>
    </row>
    <row r="54" spans="1:4" s="73" customFormat="1" ht="15">
      <c r="A54" s="402" t="s">
        <v>1547</v>
      </c>
      <c r="B54" s="413"/>
      <c r="C54" s="72" t="s">
        <v>577</v>
      </c>
      <c r="D54" s="72">
        <v>4</v>
      </c>
    </row>
    <row r="55" spans="1:4" s="73" customFormat="1" ht="15">
      <c r="A55" s="244" t="s">
        <v>1548</v>
      </c>
      <c r="B55" s="245"/>
      <c r="C55" s="72" t="s">
        <v>516</v>
      </c>
      <c r="D55" s="72">
        <v>2</v>
      </c>
    </row>
    <row r="56" spans="1:4" s="73" customFormat="1" ht="15">
      <c r="A56" s="244" t="s">
        <v>1549</v>
      </c>
      <c r="B56" s="245"/>
      <c r="C56" s="72" t="s">
        <v>1550</v>
      </c>
      <c r="D56" s="72">
        <v>15</v>
      </c>
    </row>
    <row r="57" spans="1:4" s="73" customFormat="1" ht="15">
      <c r="A57" s="244" t="s">
        <v>1551</v>
      </c>
      <c r="B57" s="245"/>
      <c r="C57" s="72" t="s">
        <v>1550</v>
      </c>
      <c r="D57" s="72">
        <v>12.5</v>
      </c>
    </row>
    <row r="58" spans="1:4" s="73" customFormat="1" ht="28.5">
      <c r="A58" s="244" t="s">
        <v>1552</v>
      </c>
      <c r="B58" s="245"/>
      <c r="C58" s="72" t="s">
        <v>328</v>
      </c>
      <c r="D58" s="72">
        <v>1</v>
      </c>
    </row>
    <row r="59" spans="1:4" s="73" customFormat="1" ht="28.5">
      <c r="A59" s="244" t="s">
        <v>1553</v>
      </c>
      <c r="B59" s="245"/>
      <c r="C59" s="72" t="s">
        <v>1554</v>
      </c>
      <c r="D59" s="72">
        <v>1</v>
      </c>
    </row>
    <row r="60" spans="1:4" s="73" customFormat="1" ht="17.25" customHeight="1">
      <c r="A60" s="401" t="s">
        <v>1557</v>
      </c>
      <c r="B60" s="402"/>
      <c r="C60" s="105" t="s">
        <v>1558</v>
      </c>
      <c r="D60" s="72">
        <v>2</v>
      </c>
    </row>
    <row r="61" spans="1:4" s="73" customFormat="1" ht="33" customHeight="1">
      <c r="A61" s="244" t="s">
        <v>1559</v>
      </c>
      <c r="B61" s="245"/>
      <c r="C61" s="105" t="s">
        <v>955</v>
      </c>
      <c r="D61" s="72">
        <v>11</v>
      </c>
    </row>
    <row r="62" spans="1:4" s="73" customFormat="1" ht="15">
      <c r="A62" s="519" t="s">
        <v>590</v>
      </c>
      <c r="B62" s="520"/>
      <c r="C62" s="109" t="s">
        <v>592</v>
      </c>
      <c r="D62" s="109">
        <v>4</v>
      </c>
    </row>
    <row r="63" spans="1:4" ht="15.75" customHeight="1" thickBot="1">
      <c r="A63" s="521" t="s">
        <v>98</v>
      </c>
      <c r="B63" s="522"/>
      <c r="C63" s="109"/>
      <c r="D63" s="109"/>
    </row>
    <row r="64" spans="1:4" ht="15.75" thickBot="1">
      <c r="A64" s="485" t="s">
        <v>99</v>
      </c>
      <c r="B64" s="490"/>
      <c r="C64" s="109"/>
      <c r="D64" s="109"/>
    </row>
    <row r="65" spans="1:4" ht="30.75" customHeight="1" thickBot="1">
      <c r="A65" s="492" t="s">
        <v>307</v>
      </c>
      <c r="B65" s="493"/>
      <c r="C65" s="154" t="s">
        <v>417</v>
      </c>
      <c r="D65" s="155" t="s">
        <v>419</v>
      </c>
    </row>
    <row r="66" spans="1:4" ht="15.75" thickBot="1">
      <c r="A66" s="485" t="s">
        <v>101</v>
      </c>
      <c r="B66" s="490"/>
      <c r="C66" s="109"/>
      <c r="D66" s="109"/>
    </row>
    <row r="67" spans="1:4" ht="15">
      <c r="A67" s="494" t="s">
        <v>102</v>
      </c>
      <c r="B67" s="516"/>
      <c r="C67" s="109"/>
      <c r="D67" s="109"/>
    </row>
    <row r="68" spans="1:4" ht="15">
      <c r="A68" s="90" t="s">
        <v>1527</v>
      </c>
      <c r="B68" s="250"/>
      <c r="C68" s="72" t="s">
        <v>243</v>
      </c>
      <c r="D68" s="72">
        <f>175+130</f>
        <v>305</v>
      </c>
    </row>
    <row r="69" spans="1:4" ht="15">
      <c r="A69" s="90" t="s">
        <v>1533</v>
      </c>
      <c r="B69" s="250"/>
      <c r="C69" s="72" t="s">
        <v>243</v>
      </c>
      <c r="D69" s="72">
        <f>175+130</f>
        <v>305</v>
      </c>
    </row>
    <row r="70" spans="1:4" ht="28.5">
      <c r="A70" s="90" t="s">
        <v>1534</v>
      </c>
      <c r="B70" s="250"/>
      <c r="C70" s="72" t="s">
        <v>243</v>
      </c>
      <c r="D70" s="72">
        <f>175+130*3</f>
        <v>565</v>
      </c>
    </row>
    <row r="71" spans="1:4" ht="28.5">
      <c r="A71" s="90" t="s">
        <v>1535</v>
      </c>
      <c r="B71" s="250"/>
      <c r="C71" s="72" t="s">
        <v>243</v>
      </c>
      <c r="D71" s="72">
        <v>305</v>
      </c>
    </row>
    <row r="72" spans="1:4" ht="15">
      <c r="A72" s="90" t="s">
        <v>1536</v>
      </c>
      <c r="B72" s="250"/>
      <c r="C72" s="72" t="s">
        <v>243</v>
      </c>
      <c r="D72" s="72">
        <f>175+130</f>
        <v>305</v>
      </c>
    </row>
    <row r="73" spans="1:4" s="73" customFormat="1" ht="15">
      <c r="A73" s="246" t="s">
        <v>1538</v>
      </c>
      <c r="B73" s="251"/>
      <c r="C73" s="72" t="s">
        <v>243</v>
      </c>
      <c r="D73" s="72">
        <v>3</v>
      </c>
    </row>
    <row r="74" spans="1:4" s="73" customFormat="1" ht="15">
      <c r="A74" s="212" t="s">
        <v>1539</v>
      </c>
      <c r="B74" s="251"/>
      <c r="C74" s="72" t="s">
        <v>243</v>
      </c>
      <c r="D74" s="72">
        <v>2</v>
      </c>
    </row>
    <row r="75" spans="1:4" s="73" customFormat="1" ht="15">
      <c r="A75" s="246" t="s">
        <v>1540</v>
      </c>
      <c r="B75" s="251"/>
      <c r="C75" s="72" t="s">
        <v>243</v>
      </c>
      <c r="D75" s="72">
        <v>2</v>
      </c>
    </row>
    <row r="76" spans="1:4" s="73" customFormat="1" ht="15">
      <c r="A76" s="246" t="s">
        <v>1541</v>
      </c>
      <c r="B76" s="251"/>
      <c r="C76" s="72" t="s">
        <v>243</v>
      </c>
      <c r="D76" s="72">
        <v>2</v>
      </c>
    </row>
    <row r="77" spans="1:4" s="73" customFormat="1" ht="15">
      <c r="A77" s="172" t="s">
        <v>687</v>
      </c>
      <c r="B77" s="251"/>
      <c r="C77" s="72" t="s">
        <v>243</v>
      </c>
      <c r="D77" s="72">
        <v>8</v>
      </c>
    </row>
    <row r="78" spans="1:4" s="73" customFormat="1" ht="15">
      <c r="A78" s="246" t="s">
        <v>1542</v>
      </c>
      <c r="B78" s="251"/>
      <c r="C78" s="72" t="s">
        <v>243</v>
      </c>
      <c r="D78" s="72">
        <v>3</v>
      </c>
    </row>
    <row r="79" spans="1:4" s="73" customFormat="1" ht="15">
      <c r="A79" s="246" t="s">
        <v>1545</v>
      </c>
      <c r="B79" s="246"/>
      <c r="C79" s="72" t="s">
        <v>243</v>
      </c>
      <c r="D79" s="72">
        <v>2</v>
      </c>
    </row>
    <row r="80" spans="1:4" s="73" customFormat="1" ht="15">
      <c r="A80" s="90" t="s">
        <v>1466</v>
      </c>
      <c r="B80" s="91"/>
      <c r="C80" s="72" t="s">
        <v>243</v>
      </c>
      <c r="D80" s="72">
        <v>1</v>
      </c>
    </row>
    <row r="81" spans="1:4" s="73" customFormat="1" ht="15">
      <c r="A81" s="246" t="s">
        <v>1508</v>
      </c>
      <c r="B81" s="246"/>
      <c r="C81" s="72" t="s">
        <v>243</v>
      </c>
      <c r="D81" s="72">
        <v>2</v>
      </c>
    </row>
    <row r="82" spans="1:4" s="73" customFormat="1" ht="15">
      <c r="A82" s="246" t="s">
        <v>1522</v>
      </c>
      <c r="B82" s="116"/>
      <c r="C82" s="72" t="s">
        <v>243</v>
      </c>
      <c r="D82" s="72">
        <v>1.5</v>
      </c>
    </row>
    <row r="83" spans="1:4" ht="15.75" thickBot="1">
      <c r="A83" s="489" t="s">
        <v>103</v>
      </c>
      <c r="B83" s="517"/>
      <c r="C83" s="109"/>
      <c r="D83" s="109"/>
    </row>
    <row r="84" spans="1:4" ht="15.75" thickBot="1">
      <c r="A84" s="518" t="s">
        <v>104</v>
      </c>
      <c r="B84" s="498"/>
      <c r="C84" s="109"/>
      <c r="D84" s="109"/>
    </row>
    <row r="85" spans="1:4" ht="15">
      <c r="A85" s="79"/>
      <c r="B85" s="79"/>
      <c r="C85" s="76"/>
      <c r="D85" s="76"/>
    </row>
    <row r="86" spans="1:4" ht="15.75">
      <c r="A86" s="394" t="s">
        <v>233</v>
      </c>
      <c r="B86" s="394"/>
      <c r="C86" s="394"/>
      <c r="D86" s="394"/>
    </row>
    <row r="87" spans="1:4" ht="15">
      <c r="A87" s="76"/>
      <c r="B87" s="76"/>
      <c r="C87" s="76"/>
      <c r="D87" s="76"/>
    </row>
    <row r="88" spans="1:4" ht="15.75">
      <c r="A88" s="394" t="s">
        <v>234</v>
      </c>
      <c r="B88" s="394"/>
      <c r="C88" s="394"/>
      <c r="D88" s="394"/>
    </row>
  </sheetData>
  <sheetProtection/>
  <mergeCells count="46">
    <mergeCell ref="A13:B13"/>
    <mergeCell ref="A1:D1"/>
    <mergeCell ref="A2:D2"/>
    <mergeCell ref="A3:D3"/>
    <mergeCell ref="A5:B5"/>
    <mergeCell ref="A6:B6"/>
    <mergeCell ref="A7:B7"/>
    <mergeCell ref="A8:B8"/>
    <mergeCell ref="A9:B9"/>
    <mergeCell ref="A10:B10"/>
    <mergeCell ref="A11:B11"/>
    <mergeCell ref="A12:B12"/>
    <mergeCell ref="A14:B14"/>
    <mergeCell ref="A15:B15"/>
    <mergeCell ref="A16:B16"/>
    <mergeCell ref="A22:B22"/>
    <mergeCell ref="A25:B25"/>
    <mergeCell ref="A26:B26"/>
    <mergeCell ref="A27:B27"/>
    <mergeCell ref="A28:B28"/>
    <mergeCell ref="A40:B40"/>
    <mergeCell ref="A19:B19"/>
    <mergeCell ref="A21:B21"/>
    <mergeCell ref="A23:B23"/>
    <mergeCell ref="A24:B24"/>
    <mergeCell ref="A44:B44"/>
    <mergeCell ref="A62:B62"/>
    <mergeCell ref="A63:B63"/>
    <mergeCell ref="A64:B64"/>
    <mergeCell ref="A65:B65"/>
    <mergeCell ref="A45:B45"/>
    <mergeCell ref="A46:B46"/>
    <mergeCell ref="A47:B47"/>
    <mergeCell ref="A48:B48"/>
    <mergeCell ref="A49:B49"/>
    <mergeCell ref="A50:B50"/>
    <mergeCell ref="A51:B51"/>
    <mergeCell ref="A52:B52"/>
    <mergeCell ref="A54:B54"/>
    <mergeCell ref="A60:B60"/>
    <mergeCell ref="A88:D88"/>
    <mergeCell ref="A66:B66"/>
    <mergeCell ref="A67:B67"/>
    <mergeCell ref="A83:B83"/>
    <mergeCell ref="A84:B84"/>
    <mergeCell ref="A86:D86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84"/>
  <sheetViews>
    <sheetView zoomScalePageLayoutView="0" workbookViewId="0" topLeftCell="A52">
      <selection activeCell="A78" sqref="A78:IV78"/>
    </sheetView>
  </sheetViews>
  <sheetFormatPr defaultColWidth="9.140625" defaultRowHeight="15"/>
  <cols>
    <col min="1" max="1" width="80.8515625" style="0" customWidth="1"/>
    <col min="2" max="2" width="3.28125" style="0" hidden="1" customWidth="1"/>
    <col min="3" max="3" width="26.00390625" style="0" customWidth="1"/>
  </cols>
  <sheetData>
    <row r="1" spans="1:4" ht="15.75">
      <c r="A1" s="381" t="s">
        <v>959</v>
      </c>
      <c r="B1" s="381"/>
      <c r="C1" s="381"/>
      <c r="D1" s="381"/>
    </row>
    <row r="2" spans="1:4" ht="15.75">
      <c r="A2" s="382" t="s">
        <v>257</v>
      </c>
      <c r="B2" s="382"/>
      <c r="C2" s="382"/>
      <c r="D2" s="382"/>
    </row>
    <row r="3" spans="1:4" s="55" customFormat="1" ht="15.75">
      <c r="A3" s="382" t="s">
        <v>1518</v>
      </c>
      <c r="B3" s="382"/>
      <c r="C3" s="382"/>
      <c r="D3" s="382"/>
    </row>
    <row r="4" spans="1:4" s="55" customFormat="1" ht="15.75">
      <c r="A4" s="107"/>
      <c r="B4" s="107"/>
      <c r="C4" s="89"/>
      <c r="D4" s="89"/>
    </row>
    <row r="5" spans="1:4" ht="45">
      <c r="A5" s="383" t="s">
        <v>229</v>
      </c>
      <c r="B5" s="384"/>
      <c r="C5" s="86" t="s">
        <v>231</v>
      </c>
      <c r="D5" s="85" t="s">
        <v>232</v>
      </c>
    </row>
    <row r="6" spans="1:4" ht="15">
      <c r="A6" s="383" t="s">
        <v>229</v>
      </c>
      <c r="B6" s="384"/>
      <c r="C6" s="73"/>
      <c r="D6" s="73"/>
    </row>
    <row r="7" spans="1:4" ht="15.75" thickBot="1">
      <c r="A7" s="379" t="s">
        <v>0</v>
      </c>
      <c r="B7" s="380"/>
      <c r="C7" s="76"/>
      <c r="D7" s="76"/>
    </row>
    <row r="8" spans="1:4" ht="15">
      <c r="A8" s="435" t="s">
        <v>24</v>
      </c>
      <c r="B8" s="436"/>
      <c r="C8" s="77"/>
      <c r="D8" s="77"/>
    </row>
    <row r="9" spans="1:4" ht="15">
      <c r="A9" s="435" t="s">
        <v>236</v>
      </c>
      <c r="B9" s="436"/>
      <c r="C9" s="77"/>
      <c r="D9" s="77"/>
    </row>
    <row r="10" spans="1:4" ht="15.75" thickBot="1">
      <c r="A10" s="451" t="s">
        <v>28</v>
      </c>
      <c r="B10" s="445"/>
      <c r="C10" s="77"/>
      <c r="D10" s="77"/>
    </row>
    <row r="11" spans="1:4" ht="15.75" thickBot="1">
      <c r="A11" s="375" t="s">
        <v>29</v>
      </c>
      <c r="B11" s="376"/>
      <c r="C11" s="77"/>
      <c r="D11" s="77"/>
    </row>
    <row r="12" spans="1:4" ht="15">
      <c r="A12" s="433" t="s">
        <v>45</v>
      </c>
      <c r="B12" s="434"/>
      <c r="C12" s="77"/>
      <c r="D12" s="77"/>
    </row>
    <row r="13" spans="1:4" ht="15.75" thickBot="1">
      <c r="A13" s="449" t="s">
        <v>55</v>
      </c>
      <c r="B13" s="450"/>
      <c r="C13" s="77"/>
      <c r="D13" s="77"/>
    </row>
    <row r="14" spans="1:4" ht="15.75" thickBot="1">
      <c r="A14" s="377" t="s">
        <v>56</v>
      </c>
      <c r="B14" s="378"/>
      <c r="C14" s="77"/>
      <c r="D14" s="77"/>
    </row>
    <row r="15" spans="1:4" ht="15.75" thickBot="1">
      <c r="A15" s="375" t="s">
        <v>57</v>
      </c>
      <c r="B15" s="376"/>
      <c r="C15" s="77"/>
      <c r="D15" s="77"/>
    </row>
    <row r="16" spans="1:4" ht="15">
      <c r="A16" s="399" t="s">
        <v>1560</v>
      </c>
      <c r="B16" s="400"/>
      <c r="C16" s="72"/>
      <c r="D16" s="72">
        <f>31.5+2057+3201.87</f>
        <v>5290.37</v>
      </c>
    </row>
    <row r="17" spans="1:4" ht="15">
      <c r="A17" s="279" t="s">
        <v>1561</v>
      </c>
      <c r="B17" s="200"/>
      <c r="C17" s="72" t="s">
        <v>346</v>
      </c>
      <c r="D17" s="72">
        <f>8*130+350</f>
        <v>1390</v>
      </c>
    </row>
    <row r="18" spans="1:4" ht="15.75" thickBot="1">
      <c r="A18" s="249" t="s">
        <v>1564</v>
      </c>
      <c r="B18" s="275"/>
      <c r="C18" s="183" t="s">
        <v>347</v>
      </c>
      <c r="D18" s="183">
        <f>350+130*2</f>
        <v>610</v>
      </c>
    </row>
    <row r="19" spans="1:4" ht="35.25" customHeight="1" thickBot="1">
      <c r="A19" s="249" t="s">
        <v>1565</v>
      </c>
      <c r="B19" s="275"/>
      <c r="C19" s="256" t="s">
        <v>591</v>
      </c>
      <c r="D19" s="183">
        <f>4*130*2+175+8*130</f>
        <v>2255</v>
      </c>
    </row>
    <row r="20" spans="1:4" ht="30.75" thickBot="1">
      <c r="A20" s="249" t="s">
        <v>1566</v>
      </c>
      <c r="B20" s="275"/>
      <c r="C20" s="256" t="s">
        <v>1567</v>
      </c>
      <c r="D20" s="183">
        <f>130*8*3+175</f>
        <v>3295</v>
      </c>
    </row>
    <row r="21" spans="1:4" ht="15">
      <c r="A21" s="399" t="s">
        <v>337</v>
      </c>
      <c r="B21" s="400"/>
      <c r="C21" s="181" t="s">
        <v>384</v>
      </c>
      <c r="D21" s="199">
        <f>1+1+1</f>
        <v>3</v>
      </c>
    </row>
    <row r="22" spans="1:4" s="73" customFormat="1" ht="15">
      <c r="A22" s="399" t="s">
        <v>1457</v>
      </c>
      <c r="B22" s="400"/>
      <c r="C22" s="72" t="s">
        <v>1458</v>
      </c>
      <c r="D22" s="72">
        <v>15</v>
      </c>
    </row>
    <row r="23" spans="1:4" s="73" customFormat="1" ht="15">
      <c r="A23" s="72" t="s">
        <v>1459</v>
      </c>
      <c r="B23" s="72"/>
      <c r="C23" s="72" t="s">
        <v>1460</v>
      </c>
      <c r="D23" s="72">
        <v>1.8</v>
      </c>
    </row>
    <row r="24" spans="1:4" s="73" customFormat="1" ht="15">
      <c r="A24" s="400" t="s">
        <v>1461</v>
      </c>
      <c r="B24" s="448"/>
      <c r="C24" s="72" t="s">
        <v>1462</v>
      </c>
      <c r="D24" s="72">
        <v>2</v>
      </c>
    </row>
    <row r="25" spans="1:4" s="73" customFormat="1" ht="15">
      <c r="A25" s="400" t="s">
        <v>1579</v>
      </c>
      <c r="B25" s="448"/>
      <c r="C25" s="72" t="s">
        <v>1580</v>
      </c>
      <c r="D25" s="72">
        <v>14</v>
      </c>
    </row>
    <row r="26" spans="1:4" ht="15" customHeight="1">
      <c r="A26" s="436" t="s">
        <v>62</v>
      </c>
      <c r="B26" s="447"/>
      <c r="C26" s="77"/>
      <c r="D26" s="77"/>
    </row>
    <row r="27" spans="1:4" ht="15.75" customHeight="1" thickBot="1">
      <c r="A27" s="445" t="s">
        <v>63</v>
      </c>
      <c r="B27" s="446"/>
      <c r="C27" s="77"/>
      <c r="D27" s="77"/>
    </row>
    <row r="28" spans="1:4" ht="15.75" thickBot="1">
      <c r="A28" s="387" t="s">
        <v>64</v>
      </c>
      <c r="B28" s="377"/>
      <c r="C28" s="77"/>
      <c r="D28" s="77"/>
    </row>
    <row r="29" spans="1:4" ht="15">
      <c r="A29" s="388" t="s">
        <v>66</v>
      </c>
      <c r="B29" s="389"/>
      <c r="C29" s="77"/>
      <c r="D29" s="77"/>
    </row>
    <row r="30" spans="1:4" ht="15">
      <c r="A30" s="60" t="s">
        <v>68</v>
      </c>
      <c r="B30" s="61"/>
      <c r="C30" s="77"/>
      <c r="D30" s="77"/>
    </row>
    <row r="31" spans="1:4" s="73" customFormat="1" ht="16.5" customHeight="1">
      <c r="A31" s="244" t="s">
        <v>1304</v>
      </c>
      <c r="B31" s="245"/>
      <c r="C31" s="105" t="s">
        <v>1162</v>
      </c>
      <c r="D31" s="72">
        <v>1</v>
      </c>
    </row>
    <row r="32" spans="1:4" ht="15">
      <c r="A32" s="62" t="s">
        <v>237</v>
      </c>
      <c r="B32" s="63"/>
      <c r="C32" s="77"/>
      <c r="D32" s="77"/>
    </row>
    <row r="33" spans="1:4" ht="15" customHeight="1">
      <c r="A33" s="64" t="s">
        <v>238</v>
      </c>
      <c r="B33" s="65"/>
      <c r="C33" s="77"/>
      <c r="D33" s="77"/>
    </row>
    <row r="34" spans="1:4" ht="15" customHeight="1">
      <c r="A34" s="66" t="s">
        <v>80</v>
      </c>
      <c r="B34" s="67"/>
      <c r="C34" s="77"/>
      <c r="D34" s="77"/>
    </row>
    <row r="35" spans="1:4" ht="15" customHeight="1">
      <c r="A35" s="64" t="s">
        <v>82</v>
      </c>
      <c r="B35" s="65"/>
      <c r="C35" s="77"/>
      <c r="D35" s="77"/>
    </row>
    <row r="36" spans="1:4" ht="15">
      <c r="A36" s="64" t="s">
        <v>84</v>
      </c>
      <c r="B36" s="65"/>
      <c r="C36" s="77"/>
      <c r="D36" s="77"/>
    </row>
    <row r="37" spans="1:4" ht="15" customHeight="1">
      <c r="A37" s="64" t="s">
        <v>86</v>
      </c>
      <c r="B37" s="65"/>
      <c r="C37" s="77"/>
      <c r="D37" s="77"/>
    </row>
    <row r="38" spans="1:4" ht="15" customHeight="1">
      <c r="A38" s="68" t="s">
        <v>88</v>
      </c>
      <c r="B38" s="69"/>
      <c r="C38" s="77"/>
      <c r="D38" s="77"/>
    </row>
    <row r="39" spans="1:4" ht="15">
      <c r="A39" s="390" t="s">
        <v>90</v>
      </c>
      <c r="B39" s="391"/>
      <c r="C39" s="77"/>
      <c r="D39" s="77"/>
    </row>
    <row r="40" spans="1:4" ht="15">
      <c r="A40" s="90" t="s">
        <v>1562</v>
      </c>
      <c r="B40" s="91"/>
      <c r="C40" s="72" t="s">
        <v>1493</v>
      </c>
      <c r="D40" s="72">
        <f>2*2*130+350</f>
        <v>870</v>
      </c>
    </row>
    <row r="41" spans="1:4" ht="15">
      <c r="A41" s="90" t="s">
        <v>1563</v>
      </c>
      <c r="B41" s="91"/>
      <c r="C41" s="72" t="s">
        <v>1268</v>
      </c>
      <c r="D41" s="72">
        <f>130*4+175</f>
        <v>695</v>
      </c>
    </row>
    <row r="42" spans="1:4" ht="15">
      <c r="A42" s="186" t="s">
        <v>1437</v>
      </c>
      <c r="B42" s="91"/>
      <c r="C42" s="72" t="s">
        <v>279</v>
      </c>
      <c r="D42" s="72">
        <f>0.4*130</f>
        <v>52</v>
      </c>
    </row>
    <row r="43" spans="1:4" ht="15">
      <c r="A43" s="242"/>
      <c r="B43" s="243"/>
      <c r="C43" s="77"/>
      <c r="D43" s="77"/>
    </row>
    <row r="44" spans="1:4" s="73" customFormat="1" ht="28.5" customHeight="1">
      <c r="A44" s="401" t="s">
        <v>694</v>
      </c>
      <c r="B44" s="402"/>
      <c r="C44" s="105" t="s">
        <v>695</v>
      </c>
      <c r="D44" s="72">
        <v>12</v>
      </c>
    </row>
    <row r="45" spans="1:4" ht="15">
      <c r="A45" s="90" t="s">
        <v>1568</v>
      </c>
      <c r="B45" s="250"/>
      <c r="C45" s="72" t="s">
        <v>328</v>
      </c>
      <c r="D45" s="77">
        <f>1*130+175</f>
        <v>305</v>
      </c>
    </row>
    <row r="46" spans="1:4" ht="15">
      <c r="A46" s="90" t="s">
        <v>1569</v>
      </c>
      <c r="B46" s="250"/>
      <c r="C46" s="105" t="s">
        <v>1336</v>
      </c>
      <c r="D46" s="72">
        <f>175+2*130*3</f>
        <v>955</v>
      </c>
    </row>
    <row r="47" spans="1:4" ht="31.5" customHeight="1">
      <c r="A47" s="186" t="s">
        <v>1570</v>
      </c>
      <c r="B47" s="91"/>
      <c r="C47" s="105" t="s">
        <v>1571</v>
      </c>
      <c r="D47" s="72">
        <f>175+4*130*3+130*8</f>
        <v>2775</v>
      </c>
    </row>
    <row r="48" spans="1:4" ht="15">
      <c r="A48" s="90" t="s">
        <v>818</v>
      </c>
      <c r="B48" s="250"/>
      <c r="C48" s="72" t="s">
        <v>817</v>
      </c>
      <c r="D48" s="72">
        <f>2*130+175</f>
        <v>435</v>
      </c>
    </row>
    <row r="49" spans="1:4" s="73" customFormat="1" ht="30" customHeight="1">
      <c r="A49" s="401" t="s">
        <v>1577</v>
      </c>
      <c r="B49" s="402"/>
      <c r="C49" s="105" t="s">
        <v>714</v>
      </c>
      <c r="D49" s="72">
        <f>3+3</f>
        <v>6</v>
      </c>
    </row>
    <row r="50" spans="1:4" s="73" customFormat="1" ht="15" customHeight="1">
      <c r="A50" s="402" t="s">
        <v>1578</v>
      </c>
      <c r="B50" s="413"/>
      <c r="C50" s="72" t="s">
        <v>714</v>
      </c>
      <c r="D50" s="72">
        <f>4+4</f>
        <v>8</v>
      </c>
    </row>
    <row r="51" spans="1:4" s="73" customFormat="1" ht="15" customHeight="1">
      <c r="A51" s="401" t="s">
        <v>448</v>
      </c>
      <c r="B51" s="402"/>
      <c r="C51" s="72" t="s">
        <v>385</v>
      </c>
      <c r="D51" s="72">
        <v>3</v>
      </c>
    </row>
    <row r="52" spans="1:4" s="73" customFormat="1" ht="29.25" customHeight="1">
      <c r="A52" s="401" t="s">
        <v>483</v>
      </c>
      <c r="B52" s="402"/>
      <c r="C52" s="105" t="s">
        <v>484</v>
      </c>
      <c r="D52" s="72">
        <v>1.5</v>
      </c>
    </row>
    <row r="53" spans="1:4" s="73" customFormat="1" ht="15">
      <c r="A53" s="402" t="s">
        <v>527</v>
      </c>
      <c r="B53" s="413"/>
      <c r="C53" s="72" t="s">
        <v>528</v>
      </c>
      <c r="D53" s="72">
        <v>2.8</v>
      </c>
    </row>
    <row r="54" spans="1:4" s="73" customFormat="1" ht="15">
      <c r="A54" s="402" t="s">
        <v>534</v>
      </c>
      <c r="B54" s="413"/>
      <c r="C54" s="72" t="s">
        <v>461</v>
      </c>
      <c r="D54" s="72">
        <f>1+1</f>
        <v>2</v>
      </c>
    </row>
    <row r="55" spans="1:4" s="73" customFormat="1" ht="18.75" customHeight="1">
      <c r="A55" s="401" t="s">
        <v>564</v>
      </c>
      <c r="B55" s="402"/>
      <c r="C55" s="105" t="s">
        <v>279</v>
      </c>
      <c r="D55" s="72">
        <v>0.4</v>
      </c>
    </row>
    <row r="56" spans="1:4" s="73" customFormat="1" ht="28.5" customHeight="1">
      <c r="A56" s="401" t="s">
        <v>694</v>
      </c>
      <c r="B56" s="402"/>
      <c r="C56" s="105" t="s">
        <v>695</v>
      </c>
      <c r="D56" s="72">
        <v>12</v>
      </c>
    </row>
    <row r="57" spans="1:4" s="73" customFormat="1" ht="21.75" customHeight="1">
      <c r="A57" s="401" t="s">
        <v>1581</v>
      </c>
      <c r="B57" s="402"/>
      <c r="C57" s="105" t="s">
        <v>1582</v>
      </c>
      <c r="D57" s="72">
        <v>1.5</v>
      </c>
    </row>
    <row r="58" spans="1:4" s="73" customFormat="1" ht="15" customHeight="1">
      <c r="A58" s="401" t="s">
        <v>1583</v>
      </c>
      <c r="B58" s="402"/>
      <c r="C58" s="72" t="s">
        <v>1584</v>
      </c>
      <c r="D58" s="72">
        <f>5+3+5+3</f>
        <v>16</v>
      </c>
    </row>
    <row r="59" spans="1:4" s="94" customFormat="1" ht="21.75" customHeight="1">
      <c r="A59" s="428" t="s">
        <v>902</v>
      </c>
      <c r="B59" s="429"/>
      <c r="C59" s="220" t="s">
        <v>378</v>
      </c>
      <c r="D59" s="199">
        <v>1</v>
      </c>
    </row>
    <row r="60" spans="1:4" s="73" customFormat="1" ht="33" customHeight="1">
      <c r="A60" s="244" t="s">
        <v>905</v>
      </c>
      <c r="B60" s="245"/>
      <c r="C60" s="105" t="s">
        <v>906</v>
      </c>
      <c r="D60" s="72">
        <v>1.2</v>
      </c>
    </row>
    <row r="61" spans="1:4" s="73" customFormat="1" ht="21.75" customHeight="1" thickBot="1">
      <c r="A61" s="401" t="s">
        <v>1589</v>
      </c>
      <c r="B61" s="402"/>
      <c r="C61" s="105" t="s">
        <v>1590</v>
      </c>
      <c r="D61" s="72">
        <v>7</v>
      </c>
    </row>
    <row r="62" spans="1:4" ht="15.75" thickBot="1">
      <c r="A62" s="377" t="s">
        <v>99</v>
      </c>
      <c r="B62" s="378"/>
      <c r="C62" s="77"/>
      <c r="D62" s="77"/>
    </row>
    <row r="63" spans="1:4" ht="30.75" customHeight="1">
      <c r="A63" s="501" t="s">
        <v>307</v>
      </c>
      <c r="B63" s="502"/>
      <c r="C63" s="78" t="s">
        <v>417</v>
      </c>
      <c r="D63" s="80" t="s">
        <v>419</v>
      </c>
    </row>
    <row r="64" spans="1:4" ht="15.75" thickBot="1">
      <c r="A64" s="392" t="s">
        <v>100</v>
      </c>
      <c r="B64" s="393"/>
      <c r="C64" s="77"/>
      <c r="D64" s="77"/>
    </row>
    <row r="65" spans="1:4" ht="15.75" thickBot="1">
      <c r="A65" s="377" t="s">
        <v>101</v>
      </c>
      <c r="B65" s="378"/>
      <c r="C65" s="77"/>
      <c r="D65" s="77"/>
    </row>
    <row r="66" spans="1:4" ht="15.75" thickBot="1">
      <c r="A66" s="443" t="s">
        <v>102</v>
      </c>
      <c r="B66" s="375"/>
      <c r="C66" s="77" t="s">
        <v>243</v>
      </c>
      <c r="D66" s="77"/>
    </row>
    <row r="67" spans="1:4" ht="15">
      <c r="A67" s="525" t="s">
        <v>102</v>
      </c>
      <c r="B67" s="526"/>
      <c r="C67" s="72"/>
      <c r="D67" s="72">
        <f>590.57+175+954</f>
        <v>1719.5700000000002</v>
      </c>
    </row>
    <row r="68" spans="1:4" ht="15">
      <c r="A68" s="181" t="s">
        <v>1572</v>
      </c>
      <c r="C68" t="s">
        <v>243</v>
      </c>
      <c r="D68" s="181">
        <f>175+130</f>
        <v>305</v>
      </c>
    </row>
    <row r="69" spans="1:4" ht="15">
      <c r="A69" s="90" t="s">
        <v>1573</v>
      </c>
      <c r="B69" s="250"/>
      <c r="C69" s="72" t="s">
        <v>243</v>
      </c>
      <c r="D69" s="72">
        <f>175+130</f>
        <v>305</v>
      </c>
    </row>
    <row r="70" spans="1:4" ht="28.5">
      <c r="A70" s="90" t="s">
        <v>1574</v>
      </c>
      <c r="B70" s="250"/>
      <c r="C70" s="72" t="s">
        <v>243</v>
      </c>
      <c r="D70" s="72">
        <f>175+260</f>
        <v>435</v>
      </c>
    </row>
    <row r="71" spans="1:4" ht="15">
      <c r="A71" s="90" t="s">
        <v>1575</v>
      </c>
      <c r="B71" s="250"/>
      <c r="C71" s="72" t="s">
        <v>243</v>
      </c>
      <c r="D71" s="72">
        <f>175+130</f>
        <v>305</v>
      </c>
    </row>
    <row r="72" spans="1:4" ht="17.25" customHeight="1">
      <c r="A72" s="90" t="s">
        <v>1576</v>
      </c>
      <c r="B72" s="250"/>
      <c r="C72" s="72" t="s">
        <v>243</v>
      </c>
      <c r="D72" s="72">
        <f>175+260</f>
        <v>435</v>
      </c>
    </row>
    <row r="73" spans="1:4" ht="15">
      <c r="A73" s="90" t="s">
        <v>258</v>
      </c>
      <c r="B73" s="135"/>
      <c r="C73" s="199"/>
      <c r="D73" s="199">
        <v>1</v>
      </c>
    </row>
    <row r="74" spans="1:4" s="73" customFormat="1" ht="15">
      <c r="A74" s="90" t="s">
        <v>1585</v>
      </c>
      <c r="B74" s="91"/>
      <c r="C74" s="72" t="s">
        <v>243</v>
      </c>
      <c r="D74" s="72">
        <v>2</v>
      </c>
    </row>
    <row r="75" spans="1:4" s="73" customFormat="1" ht="15">
      <c r="A75" s="90" t="s">
        <v>1586</v>
      </c>
      <c r="B75" s="91"/>
      <c r="C75" s="72" t="s">
        <v>243</v>
      </c>
      <c r="D75" s="72">
        <v>2</v>
      </c>
    </row>
    <row r="76" spans="1:4" s="73" customFormat="1" ht="15">
      <c r="A76" s="90" t="s">
        <v>1587</v>
      </c>
      <c r="B76" s="91"/>
      <c r="C76" s="72" t="s">
        <v>243</v>
      </c>
      <c r="D76" s="72">
        <v>1</v>
      </c>
    </row>
    <row r="77" spans="1:4" s="73" customFormat="1" ht="15">
      <c r="A77" s="90" t="s">
        <v>1588</v>
      </c>
      <c r="B77" s="91"/>
      <c r="C77" s="72" t="s">
        <v>243</v>
      </c>
      <c r="D77" s="72">
        <v>1</v>
      </c>
    </row>
    <row r="78" spans="1:4" s="73" customFormat="1" ht="15">
      <c r="A78" s="90" t="s">
        <v>1591</v>
      </c>
      <c r="B78" s="91"/>
      <c r="C78" s="72" t="s">
        <v>243</v>
      </c>
      <c r="D78" s="72">
        <v>6</v>
      </c>
    </row>
    <row r="79" spans="1:4" ht="15.75" thickBot="1">
      <c r="A79" s="395" t="s">
        <v>103</v>
      </c>
      <c r="B79" s="396"/>
      <c r="C79" s="77"/>
      <c r="D79" s="77"/>
    </row>
    <row r="80" spans="1:4" ht="15.75" thickBot="1">
      <c r="A80" s="397" t="s">
        <v>104</v>
      </c>
      <c r="B80" s="398"/>
      <c r="C80" s="77"/>
      <c r="D80" s="77"/>
    </row>
    <row r="81" spans="1:4" ht="15">
      <c r="A81" s="79"/>
      <c r="B81" s="79"/>
      <c r="C81" s="76"/>
      <c r="D81" s="76"/>
    </row>
    <row r="82" spans="1:4" ht="15.75">
      <c r="A82" s="394" t="s">
        <v>233</v>
      </c>
      <c r="B82" s="394"/>
      <c r="C82" s="394"/>
      <c r="D82" s="394"/>
    </row>
    <row r="83" spans="1:4" ht="15">
      <c r="A83" s="76"/>
      <c r="B83" s="76"/>
      <c r="C83" s="76"/>
      <c r="D83" s="76"/>
    </row>
    <row r="84" spans="1:4" ht="15.75">
      <c r="A84" s="394" t="s">
        <v>234</v>
      </c>
      <c r="B84" s="394"/>
      <c r="C84" s="394"/>
      <c r="D84" s="394"/>
    </row>
  </sheetData>
  <sheetProtection/>
  <mergeCells count="47">
    <mergeCell ref="A58:B58"/>
    <mergeCell ref="A54:B54"/>
    <mergeCell ref="A55:B55"/>
    <mergeCell ref="A56:B56"/>
    <mergeCell ref="A49:B49"/>
    <mergeCell ref="A50:B50"/>
    <mergeCell ref="A51:B51"/>
    <mergeCell ref="A52:B52"/>
    <mergeCell ref="A53:B53"/>
    <mergeCell ref="A82:D82"/>
    <mergeCell ref="A84:D84"/>
    <mergeCell ref="A62:B62"/>
    <mergeCell ref="A64:B64"/>
    <mergeCell ref="A65:B65"/>
    <mergeCell ref="A66:B66"/>
    <mergeCell ref="A79:B79"/>
    <mergeCell ref="A80:B80"/>
    <mergeCell ref="A63:B63"/>
    <mergeCell ref="A67:B67"/>
    <mergeCell ref="A59:B59"/>
    <mergeCell ref="A61:B61"/>
    <mergeCell ref="A57:B57"/>
    <mergeCell ref="A14:B14"/>
    <mergeCell ref="A15:B15"/>
    <mergeCell ref="A16:B16"/>
    <mergeCell ref="A21:B21"/>
    <mergeCell ref="A26:B26"/>
    <mergeCell ref="A22:B22"/>
    <mergeCell ref="A24:B24"/>
    <mergeCell ref="A25:B25"/>
    <mergeCell ref="A27:B27"/>
    <mergeCell ref="A28:B28"/>
    <mergeCell ref="A29:B29"/>
    <mergeCell ref="A39:B39"/>
    <mergeCell ref="A44:B44"/>
    <mergeCell ref="A13:B13"/>
    <mergeCell ref="A1:D1"/>
    <mergeCell ref="A2:D2"/>
    <mergeCell ref="A3:D3"/>
    <mergeCell ref="A5:B5"/>
    <mergeCell ref="A6:B6"/>
    <mergeCell ref="A7:B7"/>
    <mergeCell ref="A8:B8"/>
    <mergeCell ref="A9:B9"/>
    <mergeCell ref="A10:B10"/>
    <mergeCell ref="A11:B11"/>
    <mergeCell ref="A12:B12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71"/>
  <sheetViews>
    <sheetView zoomScalePageLayoutView="0" workbookViewId="0" topLeftCell="A1">
      <selection activeCell="A64" sqref="A64"/>
    </sheetView>
  </sheetViews>
  <sheetFormatPr defaultColWidth="9.140625" defaultRowHeight="15"/>
  <cols>
    <col min="1" max="1" width="80.8515625" style="0" customWidth="1"/>
    <col min="2" max="2" width="3.28125" style="0" hidden="1" customWidth="1"/>
    <col min="3" max="3" width="24.28125" style="0" customWidth="1"/>
  </cols>
  <sheetData>
    <row r="1" spans="1:4" ht="15.75">
      <c r="A1" s="381" t="s">
        <v>959</v>
      </c>
      <c r="B1" s="381"/>
      <c r="C1" s="381"/>
      <c r="D1" s="381"/>
    </row>
    <row r="2" spans="1:4" ht="15.75">
      <c r="A2" s="382" t="s">
        <v>267</v>
      </c>
      <c r="B2" s="382"/>
      <c r="C2" s="382"/>
      <c r="D2" s="382"/>
    </row>
    <row r="3" spans="1:4" s="55" customFormat="1" ht="15.75">
      <c r="A3" s="382" t="s">
        <v>1518</v>
      </c>
      <c r="B3" s="382"/>
      <c r="C3" s="382"/>
      <c r="D3" s="382"/>
    </row>
    <row r="4" spans="1:4" s="55" customFormat="1" ht="15.75">
      <c r="A4" s="118"/>
      <c r="B4" s="118"/>
      <c r="C4" s="89"/>
      <c r="D4" s="89"/>
    </row>
    <row r="5" spans="1:4" ht="30">
      <c r="A5" s="383" t="s">
        <v>229</v>
      </c>
      <c r="B5" s="384"/>
      <c r="C5" s="86" t="s">
        <v>231</v>
      </c>
      <c r="D5" s="85" t="s">
        <v>530</v>
      </c>
    </row>
    <row r="6" spans="1:4" ht="15">
      <c r="A6" s="383" t="s">
        <v>229</v>
      </c>
      <c r="B6" s="384"/>
      <c r="C6" s="73"/>
      <c r="D6" s="73"/>
    </row>
    <row r="7" spans="1:4" ht="15.75" thickBot="1">
      <c r="A7" s="457" t="s">
        <v>0</v>
      </c>
      <c r="B7" s="458"/>
      <c r="C7" s="73"/>
      <c r="D7" s="73"/>
    </row>
    <row r="8" spans="1:4" ht="15">
      <c r="A8" s="435" t="s">
        <v>24</v>
      </c>
      <c r="B8" s="436"/>
      <c r="C8" s="77"/>
      <c r="D8" s="77"/>
    </row>
    <row r="9" spans="1:4" ht="15">
      <c r="A9" s="435" t="s">
        <v>236</v>
      </c>
      <c r="B9" s="436"/>
      <c r="C9" s="77"/>
      <c r="D9" s="77"/>
    </row>
    <row r="10" spans="1:4" ht="15.75" thickBot="1">
      <c r="A10" s="451" t="s">
        <v>28</v>
      </c>
      <c r="B10" s="445"/>
      <c r="C10" s="77"/>
      <c r="D10" s="77"/>
    </row>
    <row r="11" spans="1:4" ht="15.75" thickBot="1">
      <c r="A11" s="375" t="s">
        <v>29</v>
      </c>
      <c r="B11" s="376"/>
      <c r="C11" s="77"/>
      <c r="D11" s="77"/>
    </row>
    <row r="12" spans="1:4" ht="15">
      <c r="A12" s="433" t="s">
        <v>45</v>
      </c>
      <c r="B12" s="434"/>
      <c r="C12" s="77"/>
      <c r="D12" s="77"/>
    </row>
    <row r="13" spans="1:4" ht="15.75" thickBot="1">
      <c r="A13" s="449" t="s">
        <v>55</v>
      </c>
      <c r="B13" s="450"/>
      <c r="C13" s="77"/>
      <c r="D13" s="77"/>
    </row>
    <row r="14" spans="1:4" ht="15.75" thickBot="1">
      <c r="A14" s="377" t="s">
        <v>56</v>
      </c>
      <c r="B14" s="378"/>
      <c r="C14" s="77"/>
      <c r="D14" s="77"/>
    </row>
    <row r="15" spans="1:4" ht="15.75" thickBot="1">
      <c r="A15" s="375" t="s">
        <v>57</v>
      </c>
      <c r="B15" s="376"/>
      <c r="C15" s="77"/>
      <c r="D15" s="77"/>
    </row>
    <row r="16" spans="1:4" ht="15">
      <c r="A16" s="399" t="s">
        <v>1595</v>
      </c>
      <c r="B16" s="400"/>
      <c r="C16" s="72" t="s">
        <v>390</v>
      </c>
      <c r="D16" s="72">
        <v>4</v>
      </c>
    </row>
    <row r="17" spans="1:4" ht="15" customHeight="1">
      <c r="A17" s="399" t="s">
        <v>432</v>
      </c>
      <c r="B17" s="400"/>
      <c r="C17" s="72" t="s">
        <v>390</v>
      </c>
      <c r="D17" s="72">
        <v>4</v>
      </c>
    </row>
    <row r="18" spans="1:4" ht="15">
      <c r="A18" s="181" t="s">
        <v>543</v>
      </c>
      <c r="B18" s="181"/>
      <c r="C18" s="181" t="s">
        <v>400</v>
      </c>
      <c r="D18" s="181">
        <v>1</v>
      </c>
    </row>
    <row r="19" spans="1:4" s="73" customFormat="1" ht="15">
      <c r="A19" s="399" t="s">
        <v>1598</v>
      </c>
      <c r="B19" s="400"/>
      <c r="C19" s="72" t="s">
        <v>463</v>
      </c>
      <c r="D19" s="72">
        <v>2.5</v>
      </c>
    </row>
    <row r="20" spans="1:4" s="73" customFormat="1" ht="15">
      <c r="A20" s="399" t="s">
        <v>767</v>
      </c>
      <c r="B20" s="400"/>
      <c r="C20" s="72" t="s">
        <v>390</v>
      </c>
      <c r="D20" s="72">
        <v>1</v>
      </c>
    </row>
    <row r="21" spans="1:4" s="73" customFormat="1" ht="15">
      <c r="A21" s="399" t="s">
        <v>1457</v>
      </c>
      <c r="B21" s="400"/>
      <c r="C21" s="72" t="s">
        <v>1458</v>
      </c>
      <c r="D21" s="72">
        <v>15</v>
      </c>
    </row>
    <row r="22" spans="1:4" s="73" customFormat="1" ht="15">
      <c r="A22" s="72" t="s">
        <v>1459</v>
      </c>
      <c r="B22" s="72"/>
      <c r="C22" s="72" t="s">
        <v>1460</v>
      </c>
      <c r="D22" s="72">
        <v>1.8</v>
      </c>
    </row>
    <row r="23" spans="1:4" s="73" customFormat="1" ht="15">
      <c r="A23" s="72" t="s">
        <v>1600</v>
      </c>
      <c r="B23" s="72"/>
      <c r="C23" s="72" t="s">
        <v>1601</v>
      </c>
      <c r="D23" s="72">
        <v>9</v>
      </c>
    </row>
    <row r="24" spans="1:4" s="73" customFormat="1" ht="15">
      <c r="A24" s="400" t="s">
        <v>1461</v>
      </c>
      <c r="B24" s="448"/>
      <c r="C24" s="72" t="s">
        <v>1462</v>
      </c>
      <c r="D24" s="72">
        <v>2</v>
      </c>
    </row>
    <row r="25" spans="1:4" s="73" customFormat="1" ht="15">
      <c r="A25" s="400" t="s">
        <v>1603</v>
      </c>
      <c r="B25" s="448"/>
      <c r="C25" s="72" t="s">
        <v>1462</v>
      </c>
      <c r="D25" s="72">
        <v>2</v>
      </c>
    </row>
    <row r="26" spans="1:4" s="73" customFormat="1" ht="15">
      <c r="A26" s="400" t="s">
        <v>1604</v>
      </c>
      <c r="B26" s="448"/>
      <c r="C26" s="72" t="s">
        <v>1083</v>
      </c>
      <c r="D26" s="72">
        <v>2</v>
      </c>
    </row>
    <row r="27" spans="1:4" s="73" customFormat="1" ht="15">
      <c r="A27" s="400" t="s">
        <v>1607</v>
      </c>
      <c r="B27" s="448"/>
      <c r="C27" s="72" t="s">
        <v>1608</v>
      </c>
      <c r="D27" s="72">
        <v>6</v>
      </c>
    </row>
    <row r="28" spans="1:4" s="73" customFormat="1" ht="15">
      <c r="A28" s="399" t="s">
        <v>1555</v>
      </c>
      <c r="B28" s="400"/>
      <c r="C28" s="72" t="s">
        <v>682</v>
      </c>
      <c r="D28" s="72">
        <v>4.5</v>
      </c>
    </row>
    <row r="29" spans="1:4" s="73" customFormat="1" ht="15">
      <c r="A29" s="399" t="s">
        <v>1609</v>
      </c>
      <c r="B29" s="400"/>
      <c r="C29" s="72" t="s">
        <v>1521</v>
      </c>
      <c r="D29" s="72">
        <v>5</v>
      </c>
    </row>
    <row r="30" spans="1:4" ht="15">
      <c r="A30" s="77" t="s">
        <v>543</v>
      </c>
      <c r="B30" s="77"/>
      <c r="C30" s="77" t="s">
        <v>400</v>
      </c>
      <c r="D30" s="77">
        <v>1</v>
      </c>
    </row>
    <row r="31" spans="1:4" ht="15">
      <c r="A31" s="436" t="s">
        <v>61</v>
      </c>
      <c r="B31" s="447"/>
      <c r="C31" s="77"/>
      <c r="D31" s="77"/>
    </row>
    <row r="32" spans="1:4" ht="15" customHeight="1">
      <c r="A32" s="436" t="s">
        <v>62</v>
      </c>
      <c r="B32" s="447"/>
      <c r="C32" s="77"/>
      <c r="D32" s="77"/>
    </row>
    <row r="33" spans="1:4" ht="15.75" customHeight="1" thickBot="1">
      <c r="A33" s="445" t="s">
        <v>63</v>
      </c>
      <c r="B33" s="446"/>
      <c r="C33" s="77"/>
      <c r="D33" s="77"/>
    </row>
    <row r="34" spans="1:4" ht="15.75" thickBot="1">
      <c r="A34" s="387" t="s">
        <v>64</v>
      </c>
      <c r="B34" s="377"/>
      <c r="C34" s="77"/>
      <c r="D34" s="77"/>
    </row>
    <row r="35" spans="1:4" ht="15">
      <c r="A35" s="388" t="s">
        <v>66</v>
      </c>
      <c r="B35" s="389"/>
      <c r="C35" s="77"/>
      <c r="D35" s="77"/>
    </row>
    <row r="36" spans="1:4" ht="15">
      <c r="A36" s="60" t="s">
        <v>68</v>
      </c>
      <c r="B36" s="61"/>
      <c r="C36" s="77"/>
      <c r="D36" s="77"/>
    </row>
    <row r="37" spans="1:4" ht="15" customHeight="1">
      <c r="A37" s="87" t="s">
        <v>1594</v>
      </c>
      <c r="B37" s="88"/>
      <c r="C37" s="72" t="s">
        <v>328</v>
      </c>
      <c r="D37" s="72">
        <v>1.5</v>
      </c>
    </row>
    <row r="38" spans="1:4" s="73" customFormat="1" ht="16.5" customHeight="1">
      <c r="A38" s="244" t="s">
        <v>1304</v>
      </c>
      <c r="B38" s="245"/>
      <c r="C38" s="105" t="s">
        <v>1162</v>
      </c>
      <c r="D38" s="72">
        <v>1</v>
      </c>
    </row>
    <row r="39" spans="1:4" ht="15" customHeight="1">
      <c r="A39" s="62" t="s">
        <v>74</v>
      </c>
      <c r="B39" s="63"/>
      <c r="C39" s="77"/>
      <c r="D39" s="77"/>
    </row>
    <row r="40" spans="1:4" ht="15">
      <c r="A40" s="62" t="s">
        <v>237</v>
      </c>
      <c r="B40" s="63"/>
      <c r="C40" s="77"/>
      <c r="D40" s="77"/>
    </row>
    <row r="41" spans="1:4" ht="15" customHeight="1">
      <c r="A41" s="64" t="s">
        <v>238</v>
      </c>
      <c r="B41" s="65"/>
      <c r="C41" s="77"/>
      <c r="D41" s="77"/>
    </row>
    <row r="42" spans="1:4" ht="15" customHeight="1">
      <c r="A42" s="66" t="s">
        <v>80</v>
      </c>
      <c r="B42" s="67"/>
      <c r="C42" s="77"/>
      <c r="D42" s="77"/>
    </row>
    <row r="43" spans="1:4" ht="15" customHeight="1">
      <c r="A43" s="64" t="s">
        <v>82</v>
      </c>
      <c r="B43" s="65"/>
      <c r="C43" s="77"/>
      <c r="D43" s="77"/>
    </row>
    <row r="44" spans="1:4" ht="15">
      <c r="A44" s="64" t="s">
        <v>84</v>
      </c>
      <c r="B44" s="65"/>
      <c r="C44" s="77"/>
      <c r="D44" s="77"/>
    </row>
    <row r="45" spans="1:4" ht="15" customHeight="1">
      <c r="A45" s="64" t="s">
        <v>86</v>
      </c>
      <c r="B45" s="65"/>
      <c r="C45" s="77"/>
      <c r="D45" s="77"/>
    </row>
    <row r="46" spans="1:4" ht="15" customHeight="1">
      <c r="A46" s="68" t="s">
        <v>88</v>
      </c>
      <c r="B46" s="69"/>
      <c r="C46" s="77"/>
      <c r="D46" s="77"/>
    </row>
    <row r="47" spans="1:4" ht="15">
      <c r="A47" s="390" t="s">
        <v>90</v>
      </c>
      <c r="B47" s="391"/>
      <c r="C47" s="77"/>
      <c r="D47" s="77"/>
    </row>
    <row r="48" spans="1:4" ht="15" customHeight="1">
      <c r="A48" s="401" t="s">
        <v>1592</v>
      </c>
      <c r="B48" s="402"/>
      <c r="C48" s="181" t="s">
        <v>279</v>
      </c>
      <c r="D48" s="199">
        <v>2</v>
      </c>
    </row>
    <row r="49" spans="1:4" s="73" customFormat="1" ht="15" customHeight="1">
      <c r="A49" s="401" t="s">
        <v>1596</v>
      </c>
      <c r="B49" s="402"/>
      <c r="C49" s="72" t="s">
        <v>1597</v>
      </c>
      <c r="D49" s="72">
        <v>6</v>
      </c>
    </row>
    <row r="50" spans="1:4" s="73" customFormat="1" ht="15" customHeight="1">
      <c r="A50" s="401" t="s">
        <v>1599</v>
      </c>
      <c r="B50" s="402"/>
      <c r="C50" s="72" t="s">
        <v>463</v>
      </c>
      <c r="D50" s="72">
        <v>0.5</v>
      </c>
    </row>
    <row r="51" spans="1:4" s="73" customFormat="1" ht="15" customHeight="1">
      <c r="A51" s="401" t="s">
        <v>689</v>
      </c>
      <c r="B51" s="402"/>
      <c r="C51" s="72" t="s">
        <v>690</v>
      </c>
      <c r="D51" s="72">
        <v>4</v>
      </c>
    </row>
    <row r="52" spans="1:4" s="73" customFormat="1" ht="15" customHeight="1">
      <c r="A52" s="401" t="s">
        <v>1602</v>
      </c>
      <c r="B52" s="402"/>
      <c r="C52" s="72" t="s">
        <v>447</v>
      </c>
      <c r="D52" s="72">
        <v>8</v>
      </c>
    </row>
    <row r="53" spans="1:4" s="73" customFormat="1" ht="30.75" customHeight="1">
      <c r="A53" s="401" t="s">
        <v>1605</v>
      </c>
      <c r="B53" s="402"/>
      <c r="C53" s="72" t="s">
        <v>1606</v>
      </c>
      <c r="D53" s="72">
        <v>6</v>
      </c>
    </row>
    <row r="54" spans="1:4" ht="15.75" customHeight="1" thickBot="1">
      <c r="A54" s="439" t="s">
        <v>98</v>
      </c>
      <c r="B54" s="440"/>
      <c r="C54" s="77"/>
      <c r="D54" s="77"/>
    </row>
    <row r="55" spans="1:4" ht="15.75" thickBot="1">
      <c r="A55" s="377" t="s">
        <v>99</v>
      </c>
      <c r="B55" s="378"/>
      <c r="C55" s="77"/>
      <c r="D55" s="77"/>
    </row>
    <row r="56" spans="1:4" ht="15.75" thickBot="1">
      <c r="A56" s="392" t="s">
        <v>100</v>
      </c>
      <c r="B56" s="393"/>
      <c r="C56" s="77"/>
      <c r="D56" s="77"/>
    </row>
    <row r="57" spans="1:4" ht="15.75" thickBot="1">
      <c r="A57" s="377" t="s">
        <v>101</v>
      </c>
      <c r="B57" s="378"/>
      <c r="C57" s="77"/>
      <c r="D57" s="77"/>
    </row>
    <row r="58" spans="1:4" ht="15.75" thickBot="1">
      <c r="A58" s="443" t="s">
        <v>102</v>
      </c>
      <c r="B58" s="375"/>
      <c r="C58" s="77" t="s">
        <v>243</v>
      </c>
      <c r="D58" s="77"/>
    </row>
    <row r="59" spans="1:4" ht="15">
      <c r="A59" s="90" t="s">
        <v>1593</v>
      </c>
      <c r="B59" s="135"/>
      <c r="C59" s="199"/>
      <c r="D59" s="199">
        <v>1</v>
      </c>
    </row>
    <row r="60" spans="1:4" s="73" customFormat="1" ht="15">
      <c r="A60" s="90" t="s">
        <v>439</v>
      </c>
      <c r="B60" s="91"/>
      <c r="C60" s="72" t="s">
        <v>243</v>
      </c>
      <c r="D60" s="72">
        <v>4</v>
      </c>
    </row>
    <row r="61" spans="1:4" s="73" customFormat="1" ht="15">
      <c r="A61" s="90" t="s">
        <v>1588</v>
      </c>
      <c r="B61" s="91"/>
      <c r="C61" s="72" t="s">
        <v>243</v>
      </c>
      <c r="D61" s="72">
        <v>1</v>
      </c>
    </row>
    <row r="62" spans="1:4" s="73" customFormat="1" ht="28.5">
      <c r="A62" s="246" t="s">
        <v>1610</v>
      </c>
      <c r="B62" s="246"/>
      <c r="C62" s="72" t="s">
        <v>243</v>
      </c>
      <c r="D62" s="72">
        <v>2</v>
      </c>
    </row>
    <row r="63" spans="1:4" s="73" customFormat="1" ht="15">
      <c r="A63" s="246" t="s">
        <v>1611</v>
      </c>
      <c r="B63" s="246"/>
      <c r="C63" s="72" t="s">
        <v>243</v>
      </c>
      <c r="D63" s="72">
        <v>1</v>
      </c>
    </row>
    <row r="64" spans="1:4" s="73" customFormat="1" ht="15.75" customHeight="1">
      <c r="A64" s="246" t="s">
        <v>1612</v>
      </c>
      <c r="B64" s="246"/>
      <c r="C64" s="72" t="s">
        <v>243</v>
      </c>
      <c r="D64" s="72">
        <v>2</v>
      </c>
    </row>
    <row r="65" spans="1:4" s="73" customFormat="1" ht="30.75" customHeight="1">
      <c r="A65" s="246" t="s">
        <v>1613</v>
      </c>
      <c r="B65" s="246"/>
      <c r="C65" s="72" t="s">
        <v>243</v>
      </c>
      <c r="D65" s="72">
        <v>3</v>
      </c>
    </row>
    <row r="66" spans="1:4" ht="15.75" thickBot="1">
      <c r="A66" s="395" t="s">
        <v>103</v>
      </c>
      <c r="B66" s="396"/>
      <c r="C66" s="77"/>
      <c r="D66" s="77"/>
    </row>
    <row r="67" spans="1:4" ht="15.75" thickBot="1">
      <c r="A67" s="397" t="s">
        <v>104</v>
      </c>
      <c r="B67" s="398"/>
      <c r="C67" s="77"/>
      <c r="D67" s="77"/>
    </row>
    <row r="68" spans="1:4" ht="15">
      <c r="A68" s="79"/>
      <c r="B68" s="79"/>
      <c r="C68" s="76"/>
      <c r="D68" s="76"/>
    </row>
    <row r="69" spans="1:4" ht="15.75">
      <c r="A69" s="394" t="s">
        <v>233</v>
      </c>
      <c r="B69" s="394"/>
      <c r="C69" s="394"/>
      <c r="D69" s="394"/>
    </row>
    <row r="70" spans="1:4" ht="15">
      <c r="A70" s="76"/>
      <c r="B70" s="76"/>
      <c r="C70" s="76"/>
      <c r="D70" s="76"/>
    </row>
    <row r="71" spans="1:4" ht="15.75">
      <c r="A71" s="394" t="s">
        <v>234</v>
      </c>
      <c r="B71" s="394"/>
      <c r="C71" s="394"/>
      <c r="D71" s="394"/>
    </row>
  </sheetData>
  <sheetProtection/>
  <mergeCells count="46">
    <mergeCell ref="A48:B48"/>
    <mergeCell ref="A32:B32"/>
    <mergeCell ref="A33:B33"/>
    <mergeCell ref="A34:B34"/>
    <mergeCell ref="A35:B35"/>
    <mergeCell ref="A47:B47"/>
    <mergeCell ref="A69:D69"/>
    <mergeCell ref="A71:D71"/>
    <mergeCell ref="A49:B49"/>
    <mergeCell ref="A50:B50"/>
    <mergeCell ref="A54:B54"/>
    <mergeCell ref="A55:B55"/>
    <mergeCell ref="A56:B56"/>
    <mergeCell ref="A57:B57"/>
    <mergeCell ref="A58:B58"/>
    <mergeCell ref="A66:B66"/>
    <mergeCell ref="A67:B67"/>
    <mergeCell ref="A51:B51"/>
    <mergeCell ref="A52:B52"/>
    <mergeCell ref="A53:B53"/>
    <mergeCell ref="A14:B14"/>
    <mergeCell ref="A15:B15"/>
    <mergeCell ref="A20:B20"/>
    <mergeCell ref="A26:B26"/>
    <mergeCell ref="A31:B31"/>
    <mergeCell ref="A16:B16"/>
    <mergeCell ref="A17:B17"/>
    <mergeCell ref="A19:B19"/>
    <mergeCell ref="A21:B21"/>
    <mergeCell ref="A24:B24"/>
    <mergeCell ref="A25:B25"/>
    <mergeCell ref="A27:B27"/>
    <mergeCell ref="A28:B28"/>
    <mergeCell ref="A29:B29"/>
    <mergeCell ref="A13:B13"/>
    <mergeCell ref="A1:D1"/>
    <mergeCell ref="A2:D2"/>
    <mergeCell ref="A3:D3"/>
    <mergeCell ref="A5:B5"/>
    <mergeCell ref="A6:B6"/>
    <mergeCell ref="A7:B7"/>
    <mergeCell ref="A8:B8"/>
    <mergeCell ref="A9:B9"/>
    <mergeCell ref="A10:B10"/>
    <mergeCell ref="A11:B11"/>
    <mergeCell ref="A12:B12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58"/>
  <sheetViews>
    <sheetView zoomScalePageLayoutView="0" workbookViewId="0" topLeftCell="A4">
      <selection activeCell="A31" sqref="A31:IV31"/>
    </sheetView>
  </sheetViews>
  <sheetFormatPr defaultColWidth="9.140625" defaultRowHeight="15"/>
  <cols>
    <col min="1" max="1" width="80.8515625" style="0" customWidth="1"/>
    <col min="2" max="2" width="3.28125" style="0" hidden="1" customWidth="1"/>
    <col min="3" max="3" width="22.140625" style="0" customWidth="1"/>
  </cols>
  <sheetData>
    <row r="1" spans="1:4" ht="15.75">
      <c r="A1" s="381" t="s">
        <v>959</v>
      </c>
      <c r="B1" s="381"/>
      <c r="C1" s="381"/>
      <c r="D1" s="381"/>
    </row>
    <row r="2" spans="1:4" ht="15.75">
      <c r="A2" s="382" t="s">
        <v>392</v>
      </c>
      <c r="B2" s="382"/>
      <c r="C2" s="382"/>
      <c r="D2" s="382"/>
    </row>
    <row r="3" spans="1:4" s="55" customFormat="1" ht="15.75">
      <c r="A3" s="382" t="s">
        <v>1614</v>
      </c>
      <c r="B3" s="382"/>
      <c r="C3" s="382"/>
      <c r="D3" s="382"/>
    </row>
    <row r="4" spans="1:4" s="55" customFormat="1" ht="15.75">
      <c r="A4" s="74"/>
      <c r="B4" s="74"/>
      <c r="C4" s="75"/>
      <c r="D4" s="75"/>
    </row>
    <row r="5" spans="1:4" ht="30">
      <c r="A5" s="383" t="s">
        <v>229</v>
      </c>
      <c r="B5" s="384"/>
      <c r="C5" s="86" t="s">
        <v>231</v>
      </c>
      <c r="D5" s="85" t="s">
        <v>530</v>
      </c>
    </row>
    <row r="6" spans="1:4" ht="15">
      <c r="A6" s="527" t="s">
        <v>229</v>
      </c>
      <c r="B6" s="528"/>
      <c r="C6" s="76"/>
      <c r="D6" s="76"/>
    </row>
    <row r="7" spans="1:4" ht="15.75" thickBot="1">
      <c r="A7" s="379" t="s">
        <v>0</v>
      </c>
      <c r="B7" s="380"/>
      <c r="C7" s="76"/>
      <c r="D7" s="76"/>
    </row>
    <row r="8" spans="1:4" ht="15">
      <c r="A8" s="435" t="s">
        <v>24</v>
      </c>
      <c r="B8" s="436"/>
      <c r="C8" s="77"/>
      <c r="D8" s="77"/>
    </row>
    <row r="9" spans="1:4" ht="15">
      <c r="A9" s="435" t="s">
        <v>236</v>
      </c>
      <c r="B9" s="436"/>
      <c r="C9" s="77"/>
      <c r="D9" s="77"/>
    </row>
    <row r="10" spans="1:4" ht="15.75" thickBot="1">
      <c r="A10" s="451" t="s">
        <v>28</v>
      </c>
      <c r="B10" s="445"/>
      <c r="C10" s="77"/>
      <c r="D10" s="77"/>
    </row>
    <row r="11" spans="1:4" ht="15.75" thickBot="1">
      <c r="A11" s="375" t="s">
        <v>29</v>
      </c>
      <c r="B11" s="376"/>
      <c r="C11" s="77"/>
      <c r="D11" s="77"/>
    </row>
    <row r="12" spans="1:4" ht="15">
      <c r="A12" s="433" t="s">
        <v>45</v>
      </c>
      <c r="B12" s="434"/>
      <c r="C12" s="77"/>
      <c r="D12" s="77"/>
    </row>
    <row r="13" spans="1:4" ht="15.75" thickBot="1">
      <c r="A13" s="449" t="s">
        <v>55</v>
      </c>
      <c r="B13" s="450"/>
      <c r="C13" s="77"/>
      <c r="D13" s="77"/>
    </row>
    <row r="14" spans="1:4" ht="15.75" thickBot="1">
      <c r="A14" s="377" t="s">
        <v>56</v>
      </c>
      <c r="B14" s="378"/>
      <c r="C14" s="77"/>
      <c r="D14" s="77"/>
    </row>
    <row r="15" spans="1:4" ht="15">
      <c r="A15" s="529" t="s">
        <v>57</v>
      </c>
      <c r="B15" s="530"/>
      <c r="C15" s="81"/>
      <c r="D15" s="81"/>
    </row>
    <row r="16" spans="1:4" s="73" customFormat="1" ht="27.75" customHeight="1">
      <c r="A16" s="399" t="s">
        <v>1616</v>
      </c>
      <c r="B16" s="400"/>
      <c r="C16" s="105" t="s">
        <v>714</v>
      </c>
      <c r="D16" s="72">
        <f>8+8</f>
        <v>16</v>
      </c>
    </row>
    <row r="17" spans="1:4" s="73" customFormat="1" ht="29.25" customHeight="1">
      <c r="A17" s="399" t="s">
        <v>1617</v>
      </c>
      <c r="B17" s="400"/>
      <c r="C17" s="105" t="s">
        <v>714</v>
      </c>
      <c r="D17" s="72">
        <f>8+8</f>
        <v>16</v>
      </c>
    </row>
    <row r="18" spans="1:4" ht="15">
      <c r="A18" s="181" t="s">
        <v>543</v>
      </c>
      <c r="B18" s="181"/>
      <c r="C18" s="181" t="s">
        <v>400</v>
      </c>
      <c r="D18" s="181">
        <v>1</v>
      </c>
    </row>
    <row r="19" spans="1:4" s="73" customFormat="1" ht="15">
      <c r="A19" s="399" t="s">
        <v>1457</v>
      </c>
      <c r="B19" s="400"/>
      <c r="C19" s="72" t="s">
        <v>1458</v>
      </c>
      <c r="D19" s="72">
        <v>15</v>
      </c>
    </row>
    <row r="20" spans="1:4" s="73" customFormat="1" ht="15">
      <c r="A20" s="72" t="s">
        <v>1459</v>
      </c>
      <c r="B20" s="72"/>
      <c r="C20" s="72" t="s">
        <v>1460</v>
      </c>
      <c r="D20" s="72">
        <v>1.8</v>
      </c>
    </row>
    <row r="21" spans="1:4" s="73" customFormat="1" ht="15">
      <c r="A21" s="400" t="s">
        <v>1618</v>
      </c>
      <c r="B21" s="448"/>
      <c r="C21" s="72" t="s">
        <v>1619</v>
      </c>
      <c r="D21" s="72">
        <v>5</v>
      </c>
    </row>
    <row r="22" spans="1:4" s="73" customFormat="1" ht="15">
      <c r="A22" s="400" t="s">
        <v>1461</v>
      </c>
      <c r="B22" s="448"/>
      <c r="C22" s="72" t="s">
        <v>1462</v>
      </c>
      <c r="D22" s="72">
        <v>2</v>
      </c>
    </row>
    <row r="23" spans="1:4" s="73" customFormat="1" ht="15">
      <c r="A23" s="400" t="s">
        <v>1603</v>
      </c>
      <c r="B23" s="448"/>
      <c r="C23" s="72" t="s">
        <v>1462</v>
      </c>
      <c r="D23" s="72">
        <v>2</v>
      </c>
    </row>
    <row r="24" spans="1:4" s="73" customFormat="1" ht="15">
      <c r="A24" s="400" t="s">
        <v>1604</v>
      </c>
      <c r="B24" s="448"/>
      <c r="C24" s="72" t="s">
        <v>1083</v>
      </c>
      <c r="D24" s="72">
        <v>2</v>
      </c>
    </row>
    <row r="25" spans="1:4" ht="15" customHeight="1">
      <c r="A25" s="436" t="s">
        <v>62</v>
      </c>
      <c r="B25" s="447"/>
      <c r="C25" s="77"/>
      <c r="D25" s="77"/>
    </row>
    <row r="26" spans="1:4" ht="15.75" customHeight="1" thickBot="1">
      <c r="A26" s="445" t="s">
        <v>63</v>
      </c>
      <c r="B26" s="446"/>
      <c r="C26" s="77"/>
      <c r="D26" s="77"/>
    </row>
    <row r="27" spans="1:4" ht="15.75" thickBot="1">
      <c r="A27" s="387" t="s">
        <v>64</v>
      </c>
      <c r="B27" s="377"/>
      <c r="C27" s="77"/>
      <c r="D27" s="77"/>
    </row>
    <row r="28" spans="1:4" ht="15">
      <c r="A28" s="388" t="s">
        <v>66</v>
      </c>
      <c r="B28" s="389"/>
      <c r="C28" s="77"/>
      <c r="D28" s="77"/>
    </row>
    <row r="29" spans="1:4" ht="15">
      <c r="A29" s="60" t="s">
        <v>68</v>
      </c>
      <c r="B29" s="61"/>
      <c r="C29" s="77"/>
      <c r="D29" s="77"/>
    </row>
    <row r="30" spans="1:4" ht="15" customHeight="1">
      <c r="A30" s="87" t="s">
        <v>393</v>
      </c>
      <c r="B30" s="140"/>
      <c r="C30" s="181" t="s">
        <v>390</v>
      </c>
      <c r="D30" s="199">
        <v>2</v>
      </c>
    </row>
    <row r="31" spans="1:4" s="73" customFormat="1" ht="16.5" customHeight="1">
      <c r="A31" s="272" t="s">
        <v>1304</v>
      </c>
      <c r="B31" s="273"/>
      <c r="C31" s="105" t="s">
        <v>1162</v>
      </c>
      <c r="D31" s="72">
        <v>1</v>
      </c>
    </row>
    <row r="32" spans="1:4" ht="15" customHeight="1">
      <c r="A32" s="62" t="s">
        <v>74</v>
      </c>
      <c r="B32" s="63"/>
      <c r="C32" s="77"/>
      <c r="D32" s="77"/>
    </row>
    <row r="33" spans="1:4" ht="15">
      <c r="A33" s="62" t="s">
        <v>237</v>
      </c>
      <c r="B33" s="63"/>
      <c r="C33" s="77"/>
      <c r="D33" s="77"/>
    </row>
    <row r="34" spans="1:4" ht="15" customHeight="1">
      <c r="A34" s="64" t="s">
        <v>238</v>
      </c>
      <c r="B34" s="65"/>
      <c r="C34" s="77"/>
      <c r="D34" s="77"/>
    </row>
    <row r="35" spans="1:4" ht="15" customHeight="1">
      <c r="A35" s="66" t="s">
        <v>80</v>
      </c>
      <c r="B35" s="67"/>
      <c r="C35" s="77"/>
      <c r="D35" s="77"/>
    </row>
    <row r="36" spans="1:4" ht="15" customHeight="1">
      <c r="A36" s="64" t="s">
        <v>82</v>
      </c>
      <c r="B36" s="65"/>
      <c r="C36" s="77"/>
      <c r="D36" s="77"/>
    </row>
    <row r="37" spans="1:4" ht="15">
      <c r="A37" s="64" t="s">
        <v>84</v>
      </c>
      <c r="B37" s="65"/>
      <c r="C37" s="77"/>
      <c r="D37" s="77"/>
    </row>
    <row r="38" spans="1:4" ht="15" customHeight="1">
      <c r="A38" s="64" t="s">
        <v>86</v>
      </c>
      <c r="B38" s="65"/>
      <c r="C38" s="77"/>
      <c r="D38" s="77"/>
    </row>
    <row r="39" spans="1:4" ht="15" customHeight="1">
      <c r="A39" s="68" t="s">
        <v>88</v>
      </c>
      <c r="B39" s="69"/>
      <c r="C39" s="77"/>
      <c r="D39" s="77"/>
    </row>
    <row r="40" spans="1:4" ht="15">
      <c r="A40" s="390" t="s">
        <v>90</v>
      </c>
      <c r="B40" s="391"/>
      <c r="C40" s="77"/>
      <c r="D40" s="77"/>
    </row>
    <row r="41" spans="1:4" ht="15" customHeight="1">
      <c r="A41" s="444" t="s">
        <v>92</v>
      </c>
      <c r="B41" s="437"/>
      <c r="C41" s="77"/>
      <c r="D41" s="77"/>
    </row>
    <row r="42" spans="1:4" ht="15" customHeight="1">
      <c r="A42" s="437" t="s">
        <v>94</v>
      </c>
      <c r="B42" s="438"/>
      <c r="C42" s="77"/>
      <c r="D42" s="77"/>
    </row>
    <row r="43" spans="1:4" ht="15">
      <c r="A43" s="437" t="s">
        <v>96</v>
      </c>
      <c r="B43" s="438"/>
      <c r="C43" s="77"/>
      <c r="D43" s="77"/>
    </row>
    <row r="44" spans="1:4" ht="15.75" customHeight="1" thickBot="1">
      <c r="A44" s="439" t="s">
        <v>98</v>
      </c>
      <c r="B44" s="440"/>
      <c r="C44" s="77"/>
      <c r="D44" s="77"/>
    </row>
    <row r="45" spans="1:4" ht="15.75" thickBot="1">
      <c r="A45" s="377" t="s">
        <v>99</v>
      </c>
      <c r="B45" s="378"/>
      <c r="C45" s="77"/>
      <c r="D45" s="77"/>
    </row>
    <row r="46" spans="1:4" ht="15.75" thickBot="1">
      <c r="A46" s="392" t="s">
        <v>100</v>
      </c>
      <c r="B46" s="393"/>
      <c r="C46" s="77"/>
      <c r="D46" s="77"/>
    </row>
    <row r="47" spans="1:4" ht="15.75" thickBot="1">
      <c r="A47" s="377" t="s">
        <v>101</v>
      </c>
      <c r="B47" s="378"/>
      <c r="C47" s="77"/>
      <c r="D47" s="77"/>
    </row>
    <row r="48" spans="1:4" ht="15">
      <c r="A48" s="443" t="s">
        <v>102</v>
      </c>
      <c r="B48" s="529"/>
      <c r="C48" s="77"/>
      <c r="D48" s="77"/>
    </row>
    <row r="49" spans="1:4" ht="15">
      <c r="A49" s="277" t="s">
        <v>1615</v>
      </c>
      <c r="B49" s="274"/>
      <c r="C49" s="72"/>
      <c r="D49" s="72">
        <f>175+130</f>
        <v>305</v>
      </c>
    </row>
    <row r="50" spans="1:4" s="73" customFormat="1" ht="15">
      <c r="A50" s="90" t="s">
        <v>778</v>
      </c>
      <c r="B50" s="185"/>
      <c r="C50" s="72" t="s">
        <v>243</v>
      </c>
      <c r="D50" s="72">
        <v>2</v>
      </c>
    </row>
    <row r="51" spans="1:4" s="73" customFormat="1" ht="15">
      <c r="A51" s="277" t="s">
        <v>1588</v>
      </c>
      <c r="B51" s="91"/>
      <c r="C51" s="72" t="s">
        <v>243</v>
      </c>
      <c r="D51" s="72">
        <v>1</v>
      </c>
    </row>
    <row r="52" spans="1:4" ht="15">
      <c r="A52" s="95"/>
      <c r="B52" s="166"/>
      <c r="C52" s="77"/>
      <c r="D52" s="77"/>
    </row>
    <row r="53" spans="1:4" ht="15">
      <c r="A53" s="390" t="s">
        <v>410</v>
      </c>
      <c r="B53" s="506"/>
      <c r="C53" s="77"/>
      <c r="D53" s="77"/>
    </row>
    <row r="54" spans="1:4" ht="15.75" thickBot="1">
      <c r="A54" s="453" t="s">
        <v>104</v>
      </c>
      <c r="B54" s="507"/>
      <c r="C54" s="77"/>
      <c r="D54" s="77"/>
    </row>
    <row r="55" spans="1:4" ht="15">
      <c r="A55" s="79"/>
      <c r="B55" s="79"/>
      <c r="C55" s="76"/>
      <c r="D55" s="76"/>
    </row>
    <row r="56" spans="1:4" ht="15.75">
      <c r="A56" s="394" t="s">
        <v>233</v>
      </c>
      <c r="B56" s="394"/>
      <c r="C56" s="394"/>
      <c r="D56" s="394"/>
    </row>
    <row r="57" spans="1:4" ht="15">
      <c r="A57" s="76"/>
      <c r="B57" s="76"/>
      <c r="C57" s="76"/>
      <c r="D57" s="76"/>
    </row>
    <row r="58" spans="1:4" ht="15.75">
      <c r="A58" s="394" t="s">
        <v>234</v>
      </c>
      <c r="B58" s="394"/>
      <c r="C58" s="394"/>
      <c r="D58" s="394"/>
    </row>
  </sheetData>
  <sheetProtection/>
  <mergeCells count="38">
    <mergeCell ref="A56:D56"/>
    <mergeCell ref="A58:D58"/>
    <mergeCell ref="A42:B42"/>
    <mergeCell ref="A43:B43"/>
    <mergeCell ref="A44:B44"/>
    <mergeCell ref="A45:B45"/>
    <mergeCell ref="A46:B46"/>
    <mergeCell ref="A47:B47"/>
    <mergeCell ref="A48:B48"/>
    <mergeCell ref="A53:B53"/>
    <mergeCell ref="A54:B54"/>
    <mergeCell ref="A41:B41"/>
    <mergeCell ref="A14:B14"/>
    <mergeCell ref="A15:B15"/>
    <mergeCell ref="A23:B23"/>
    <mergeCell ref="A24:B24"/>
    <mergeCell ref="A25:B25"/>
    <mergeCell ref="A26:B26"/>
    <mergeCell ref="A27:B27"/>
    <mergeCell ref="A28:B28"/>
    <mergeCell ref="A40:B40"/>
    <mergeCell ref="A16:B16"/>
    <mergeCell ref="A17:B17"/>
    <mergeCell ref="A19:B19"/>
    <mergeCell ref="A21:B21"/>
    <mergeCell ref="A22:B22"/>
    <mergeCell ref="A13:B13"/>
    <mergeCell ref="A1:D1"/>
    <mergeCell ref="A2:D2"/>
    <mergeCell ref="A3:D3"/>
    <mergeCell ref="A5:B5"/>
    <mergeCell ref="A6:B6"/>
    <mergeCell ref="A7:B7"/>
    <mergeCell ref="A8:B8"/>
    <mergeCell ref="A9:B9"/>
    <mergeCell ref="A10:B10"/>
    <mergeCell ref="A11:B11"/>
    <mergeCell ref="A12:B12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53"/>
  <sheetViews>
    <sheetView zoomScalePageLayoutView="0" workbookViewId="0" topLeftCell="A19">
      <selection activeCell="G46" sqref="F45:G46"/>
    </sheetView>
  </sheetViews>
  <sheetFormatPr defaultColWidth="9.140625" defaultRowHeight="15"/>
  <cols>
    <col min="1" max="1" width="80.8515625" style="0" customWidth="1"/>
    <col min="2" max="2" width="3.28125" style="0" hidden="1" customWidth="1"/>
    <col min="3" max="3" width="22.140625" style="0" customWidth="1"/>
  </cols>
  <sheetData>
    <row r="1" spans="1:4" ht="15.75">
      <c r="A1" s="381" t="s">
        <v>959</v>
      </c>
      <c r="B1" s="381"/>
      <c r="C1" s="381"/>
      <c r="D1" s="381"/>
    </row>
    <row r="2" spans="1:4" ht="15.75">
      <c r="A2" s="382" t="s">
        <v>248</v>
      </c>
      <c r="B2" s="382"/>
      <c r="C2" s="382"/>
      <c r="D2" s="382"/>
    </row>
    <row r="3" spans="1:4" s="55" customFormat="1" ht="15.75">
      <c r="A3" s="382" t="s">
        <v>1620</v>
      </c>
      <c r="B3" s="382"/>
      <c r="C3" s="382"/>
      <c r="D3" s="382"/>
    </row>
    <row r="4" spans="1:4" s="55" customFormat="1" ht="15.75">
      <c r="A4" s="271"/>
      <c r="B4" s="271"/>
      <c r="C4" s="89"/>
      <c r="D4" s="89"/>
    </row>
    <row r="5" spans="1:4" ht="30">
      <c r="A5" s="383" t="s">
        <v>229</v>
      </c>
      <c r="B5" s="384"/>
      <c r="C5" s="86" t="s">
        <v>231</v>
      </c>
      <c r="D5" s="85" t="s">
        <v>530</v>
      </c>
    </row>
    <row r="6" spans="1:4" ht="15">
      <c r="A6" s="383" t="s">
        <v>229</v>
      </c>
      <c r="B6" s="384"/>
      <c r="C6" s="73"/>
      <c r="D6" s="73"/>
    </row>
    <row r="7" spans="1:4" ht="15.75" thickBot="1">
      <c r="A7" s="379" t="s">
        <v>0</v>
      </c>
      <c r="B7" s="380"/>
      <c r="C7" s="76"/>
      <c r="D7" s="76"/>
    </row>
    <row r="8" spans="1:4" ht="15">
      <c r="A8" s="435" t="s">
        <v>24</v>
      </c>
      <c r="B8" s="436"/>
      <c r="C8" s="77"/>
      <c r="D8" s="77"/>
    </row>
    <row r="9" spans="1:4" ht="15">
      <c r="A9" s="435" t="s">
        <v>236</v>
      </c>
      <c r="B9" s="436"/>
      <c r="C9" s="77"/>
      <c r="D9" s="77"/>
    </row>
    <row r="10" spans="1:4" ht="15.75" thickBot="1">
      <c r="A10" s="451" t="s">
        <v>28</v>
      </c>
      <c r="B10" s="445"/>
      <c r="C10" s="77"/>
      <c r="D10" s="77"/>
    </row>
    <row r="11" spans="1:4" ht="15.75" thickBot="1">
      <c r="A11" s="375" t="s">
        <v>29</v>
      </c>
      <c r="B11" s="376"/>
      <c r="C11" s="77"/>
      <c r="D11" s="77"/>
    </row>
    <row r="12" spans="1:4" ht="15">
      <c r="A12" s="433" t="s">
        <v>45</v>
      </c>
      <c r="B12" s="434"/>
      <c r="C12" s="77"/>
      <c r="D12" s="77"/>
    </row>
    <row r="13" spans="1:4" ht="15.75" thickBot="1">
      <c r="A13" s="449" t="s">
        <v>55</v>
      </c>
      <c r="B13" s="450"/>
      <c r="C13" s="77"/>
      <c r="D13" s="77"/>
    </row>
    <row r="14" spans="1:4" ht="15.75" thickBot="1">
      <c r="A14" s="377" t="s">
        <v>56</v>
      </c>
      <c r="B14" s="378"/>
      <c r="C14" s="77"/>
      <c r="D14" s="77"/>
    </row>
    <row r="15" spans="1:4" ht="15">
      <c r="A15" s="529" t="s">
        <v>57</v>
      </c>
      <c r="B15" s="530"/>
      <c r="C15" s="77"/>
      <c r="D15" s="77"/>
    </row>
    <row r="16" spans="1:4" ht="15">
      <c r="A16" s="399" t="s">
        <v>365</v>
      </c>
      <c r="B16" s="399"/>
      <c r="C16" s="181" t="s">
        <v>402</v>
      </c>
      <c r="D16" s="199">
        <f>4+4</f>
        <v>8</v>
      </c>
    </row>
    <row r="17" spans="1:4" s="73" customFormat="1" ht="15">
      <c r="A17" s="399" t="s">
        <v>1457</v>
      </c>
      <c r="B17" s="400"/>
      <c r="C17" s="72" t="s">
        <v>1458</v>
      </c>
      <c r="D17" s="72">
        <v>15</v>
      </c>
    </row>
    <row r="18" spans="1:4" s="73" customFormat="1" ht="15">
      <c r="A18" s="72" t="s">
        <v>1459</v>
      </c>
      <c r="B18" s="72"/>
      <c r="C18" s="72" t="s">
        <v>1460</v>
      </c>
      <c r="D18" s="72">
        <v>1.8</v>
      </c>
    </row>
    <row r="19" spans="1:4" s="73" customFormat="1" ht="15">
      <c r="A19" s="400" t="s">
        <v>1618</v>
      </c>
      <c r="B19" s="448"/>
      <c r="C19" s="72" t="s">
        <v>1619</v>
      </c>
      <c r="D19" s="72">
        <v>5</v>
      </c>
    </row>
    <row r="20" spans="1:4" s="73" customFormat="1" ht="15">
      <c r="A20" s="400" t="s">
        <v>1461</v>
      </c>
      <c r="B20" s="448"/>
      <c r="C20" s="72" t="s">
        <v>1462</v>
      </c>
      <c r="D20" s="72">
        <v>2</v>
      </c>
    </row>
    <row r="21" spans="1:4" s="73" customFormat="1" ht="15">
      <c r="A21" s="400" t="s">
        <v>1603</v>
      </c>
      <c r="B21" s="448"/>
      <c r="C21" s="72" t="s">
        <v>1462</v>
      </c>
      <c r="D21" s="72">
        <v>2</v>
      </c>
    </row>
    <row r="22" spans="1:4" s="73" customFormat="1" ht="15.75" thickBot="1">
      <c r="A22" s="400" t="s">
        <v>1604</v>
      </c>
      <c r="B22" s="448"/>
      <c r="C22" s="72" t="s">
        <v>1083</v>
      </c>
      <c r="D22" s="72">
        <v>2</v>
      </c>
    </row>
    <row r="23" spans="1:4" ht="15.75" thickBot="1">
      <c r="A23" s="387" t="s">
        <v>64</v>
      </c>
      <c r="B23" s="377"/>
      <c r="C23" s="77"/>
      <c r="D23" s="77"/>
    </row>
    <row r="24" spans="1:4" ht="15">
      <c r="A24" s="388" t="s">
        <v>66</v>
      </c>
      <c r="B24" s="389"/>
      <c r="C24" s="77"/>
      <c r="D24" s="77"/>
    </row>
    <row r="25" spans="1:4" ht="15">
      <c r="A25" s="60" t="s">
        <v>68</v>
      </c>
      <c r="B25" s="61"/>
      <c r="C25" s="77"/>
      <c r="D25" s="77"/>
    </row>
    <row r="26" spans="1:4" ht="15" customHeight="1">
      <c r="A26" s="87" t="s">
        <v>391</v>
      </c>
      <c r="B26" s="140"/>
      <c r="C26" s="181" t="s">
        <v>390</v>
      </c>
      <c r="D26" s="199">
        <v>2</v>
      </c>
    </row>
    <row r="27" spans="1:4" s="73" customFormat="1" ht="16.5" customHeight="1">
      <c r="A27" s="272" t="s">
        <v>1304</v>
      </c>
      <c r="B27" s="273"/>
      <c r="C27" s="105" t="s">
        <v>1162</v>
      </c>
      <c r="D27" s="72">
        <v>1</v>
      </c>
    </row>
    <row r="28" spans="1:4" ht="15" customHeight="1">
      <c r="A28" s="62" t="s">
        <v>74</v>
      </c>
      <c r="B28" s="63"/>
      <c r="C28" s="77"/>
      <c r="D28" s="77"/>
    </row>
    <row r="29" spans="1:4" ht="15">
      <c r="A29" s="62" t="s">
        <v>237</v>
      </c>
      <c r="B29" s="63"/>
      <c r="C29" s="77"/>
      <c r="D29" s="77"/>
    </row>
    <row r="30" spans="1:4" ht="15" customHeight="1">
      <c r="A30" s="64" t="s">
        <v>238</v>
      </c>
      <c r="B30" s="65"/>
      <c r="C30" s="77"/>
      <c r="D30" s="77"/>
    </row>
    <row r="31" spans="1:4" ht="15" customHeight="1">
      <c r="A31" s="66" t="s">
        <v>80</v>
      </c>
      <c r="B31" s="67"/>
      <c r="C31" s="77"/>
      <c r="D31" s="77"/>
    </row>
    <row r="32" spans="1:4" ht="15" customHeight="1">
      <c r="A32" s="64" t="s">
        <v>82</v>
      </c>
      <c r="B32" s="65"/>
      <c r="C32" s="77"/>
      <c r="D32" s="77"/>
    </row>
    <row r="33" spans="1:4" ht="15">
      <c r="A33" s="64" t="s">
        <v>84</v>
      </c>
      <c r="B33" s="65"/>
      <c r="C33" s="77"/>
      <c r="D33" s="77"/>
    </row>
    <row r="34" spans="1:4" ht="15" customHeight="1">
      <c r="A34" s="64" t="s">
        <v>86</v>
      </c>
      <c r="B34" s="65"/>
      <c r="C34" s="77"/>
      <c r="D34" s="77"/>
    </row>
    <row r="35" spans="1:4" ht="15" customHeight="1">
      <c r="A35" s="68" t="s">
        <v>88</v>
      </c>
      <c r="B35" s="69"/>
      <c r="C35" s="77"/>
      <c r="D35" s="77"/>
    </row>
    <row r="36" spans="1:4" ht="15">
      <c r="A36" s="390" t="s">
        <v>90</v>
      </c>
      <c r="B36" s="391"/>
      <c r="C36" s="77"/>
      <c r="D36" s="77"/>
    </row>
    <row r="37" spans="1:4" ht="15" customHeight="1">
      <c r="A37" s="444" t="s">
        <v>92</v>
      </c>
      <c r="B37" s="437"/>
      <c r="C37" s="77"/>
      <c r="D37" s="77"/>
    </row>
    <row r="38" spans="1:4" ht="15" customHeight="1">
      <c r="A38" s="437" t="s">
        <v>94</v>
      </c>
      <c r="B38" s="438"/>
      <c r="C38" s="77"/>
      <c r="D38" s="77"/>
    </row>
    <row r="39" spans="1:4" ht="15">
      <c r="A39" s="437" t="s">
        <v>96</v>
      </c>
      <c r="B39" s="438"/>
      <c r="C39" s="77"/>
      <c r="D39" s="77"/>
    </row>
    <row r="40" spans="1:4" ht="15.75" customHeight="1" thickBot="1">
      <c r="A40" s="439" t="s">
        <v>98</v>
      </c>
      <c r="B40" s="440"/>
      <c r="C40" s="77"/>
      <c r="D40" s="77"/>
    </row>
    <row r="41" spans="1:4" ht="15.75" thickBot="1">
      <c r="A41" s="377" t="s">
        <v>99</v>
      </c>
      <c r="B41" s="378"/>
      <c r="C41" s="77"/>
      <c r="D41" s="77"/>
    </row>
    <row r="42" spans="1:4" ht="15.75" thickBot="1">
      <c r="A42" s="392" t="s">
        <v>100</v>
      </c>
      <c r="B42" s="393"/>
      <c r="C42" s="77"/>
      <c r="D42" s="77"/>
    </row>
    <row r="43" spans="1:4" ht="15.75" thickBot="1">
      <c r="A43" s="377" t="s">
        <v>101</v>
      </c>
      <c r="B43" s="378"/>
      <c r="C43" s="77"/>
      <c r="D43" s="77"/>
    </row>
    <row r="44" spans="1:4" ht="15.75" thickBot="1">
      <c r="A44" s="443" t="s">
        <v>102</v>
      </c>
      <c r="B44" s="375"/>
      <c r="C44" s="77" t="s">
        <v>243</v>
      </c>
      <c r="D44" s="77"/>
    </row>
    <row r="45" spans="1:4" ht="15">
      <c r="A45" s="277" t="s">
        <v>266</v>
      </c>
      <c r="B45" s="135"/>
      <c r="C45" s="199"/>
      <c r="D45" s="199">
        <v>1.5</v>
      </c>
    </row>
    <row r="46" spans="1:4" s="73" customFormat="1" ht="15">
      <c r="A46" s="277" t="s">
        <v>1588</v>
      </c>
      <c r="B46" s="91"/>
      <c r="C46" s="72" t="s">
        <v>243</v>
      </c>
      <c r="D46" s="72">
        <v>1</v>
      </c>
    </row>
    <row r="47" spans="1:4" ht="15.75" thickBot="1">
      <c r="A47" s="395" t="s">
        <v>103</v>
      </c>
      <c r="B47" s="396"/>
      <c r="C47" s="77"/>
      <c r="D47" s="77"/>
    </row>
    <row r="48" spans="1:4" ht="15.75" thickBot="1">
      <c r="A48" s="397" t="s">
        <v>104</v>
      </c>
      <c r="B48" s="398"/>
      <c r="C48" s="77"/>
      <c r="D48" s="77"/>
    </row>
    <row r="49" spans="1:4" ht="15">
      <c r="A49" s="79"/>
      <c r="B49" s="79"/>
      <c r="C49" s="76"/>
      <c r="D49" s="76"/>
    </row>
    <row r="50" spans="1:4" ht="15.75">
      <c r="A50" s="394" t="s">
        <v>233</v>
      </c>
      <c r="B50" s="394"/>
      <c r="C50" s="394"/>
      <c r="D50" s="394"/>
    </row>
    <row r="51" spans="1:4" ht="15">
      <c r="A51" s="76"/>
      <c r="B51" s="76"/>
      <c r="C51" s="76"/>
      <c r="D51" s="76"/>
    </row>
    <row r="52" spans="1:4" ht="15.75">
      <c r="A52" s="394" t="s">
        <v>234</v>
      </c>
      <c r="B52" s="394"/>
      <c r="C52" s="394"/>
      <c r="D52" s="394"/>
    </row>
    <row r="53" spans="1:4" ht="15">
      <c r="A53" s="76"/>
      <c r="B53" s="76"/>
      <c r="C53" s="76"/>
      <c r="D53" s="76"/>
    </row>
  </sheetData>
  <sheetProtection/>
  <mergeCells count="35">
    <mergeCell ref="A50:D50"/>
    <mergeCell ref="A52:D52"/>
    <mergeCell ref="A38:B38"/>
    <mergeCell ref="A39:B39"/>
    <mergeCell ref="A40:B40"/>
    <mergeCell ref="A41:B41"/>
    <mergeCell ref="A42:B42"/>
    <mergeCell ref="A43:B43"/>
    <mergeCell ref="A44:B44"/>
    <mergeCell ref="A47:B47"/>
    <mergeCell ref="A48:B48"/>
    <mergeCell ref="A37:B37"/>
    <mergeCell ref="A14:B14"/>
    <mergeCell ref="A15:B15"/>
    <mergeCell ref="A16:B16"/>
    <mergeCell ref="A17:B17"/>
    <mergeCell ref="A19:B19"/>
    <mergeCell ref="A20:B20"/>
    <mergeCell ref="A21:B21"/>
    <mergeCell ref="A23:B23"/>
    <mergeCell ref="A24:B24"/>
    <mergeCell ref="A36:B36"/>
    <mergeCell ref="A22:B22"/>
    <mergeCell ref="A13:B13"/>
    <mergeCell ref="A1:D1"/>
    <mergeCell ref="A2:D2"/>
    <mergeCell ref="A3:D3"/>
    <mergeCell ref="A5:B5"/>
    <mergeCell ref="A6:B6"/>
    <mergeCell ref="A7:B7"/>
    <mergeCell ref="A8:B8"/>
    <mergeCell ref="A9:B9"/>
    <mergeCell ref="A10:B10"/>
    <mergeCell ref="A11:B11"/>
    <mergeCell ref="A12:B12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55"/>
  <sheetViews>
    <sheetView zoomScalePageLayoutView="0" workbookViewId="0" topLeftCell="A16">
      <selection activeCell="A29" sqref="A29:IV29"/>
    </sheetView>
  </sheetViews>
  <sheetFormatPr defaultColWidth="9.140625" defaultRowHeight="15"/>
  <cols>
    <col min="1" max="1" width="80.8515625" style="0" customWidth="1"/>
    <col min="2" max="2" width="3.28125" style="0" hidden="1" customWidth="1"/>
    <col min="3" max="3" width="27.28125" style="0" customWidth="1"/>
  </cols>
  <sheetData>
    <row r="1" spans="1:4" ht="15.75">
      <c r="A1" s="381" t="s">
        <v>1621</v>
      </c>
      <c r="B1" s="381"/>
      <c r="C1" s="381"/>
      <c r="D1" s="381"/>
    </row>
    <row r="2" spans="1:4" ht="15.75">
      <c r="A2" s="382" t="s">
        <v>253</v>
      </c>
      <c r="B2" s="382"/>
      <c r="C2" s="382"/>
      <c r="D2" s="382"/>
    </row>
    <row r="3" spans="1:4" s="55" customFormat="1" ht="15.75">
      <c r="A3" s="382" t="s">
        <v>1622</v>
      </c>
      <c r="B3" s="382"/>
      <c r="C3" s="382"/>
      <c r="D3" s="382"/>
    </row>
    <row r="4" spans="1:4" s="55" customFormat="1" ht="15.75">
      <c r="A4" s="271"/>
      <c r="B4" s="271"/>
      <c r="C4" s="89"/>
      <c r="D4" s="89"/>
    </row>
    <row r="5" spans="1:4" ht="45">
      <c r="A5" s="383" t="s">
        <v>229</v>
      </c>
      <c r="B5" s="384"/>
      <c r="C5" s="86" t="s">
        <v>231</v>
      </c>
      <c r="D5" s="85" t="s">
        <v>232</v>
      </c>
    </row>
    <row r="6" spans="1:4" ht="15">
      <c r="A6" s="527" t="s">
        <v>229</v>
      </c>
      <c r="B6" s="528"/>
      <c r="C6" s="76"/>
      <c r="D6" s="76"/>
    </row>
    <row r="7" spans="1:4" ht="15.75" thickBot="1">
      <c r="A7" s="379" t="s">
        <v>0</v>
      </c>
      <c r="B7" s="380"/>
      <c r="C7" s="76"/>
      <c r="D7" s="76"/>
    </row>
    <row r="8" spans="1:4" ht="15">
      <c r="A8" s="435" t="s">
        <v>24</v>
      </c>
      <c r="B8" s="436"/>
      <c r="C8" s="77"/>
      <c r="D8" s="77"/>
    </row>
    <row r="9" spans="1:4" ht="15">
      <c r="A9" s="435" t="s">
        <v>236</v>
      </c>
      <c r="B9" s="436"/>
      <c r="C9" s="77"/>
      <c r="D9" s="77"/>
    </row>
    <row r="10" spans="1:4" ht="15.75" thickBot="1">
      <c r="A10" s="451" t="s">
        <v>28</v>
      </c>
      <c r="B10" s="445"/>
      <c r="C10" s="77"/>
      <c r="D10" s="77"/>
    </row>
    <row r="11" spans="1:4" ht="15.75" thickBot="1">
      <c r="A11" s="375" t="s">
        <v>29</v>
      </c>
      <c r="B11" s="376"/>
      <c r="C11" s="77"/>
      <c r="D11" s="77"/>
    </row>
    <row r="12" spans="1:4" ht="15">
      <c r="A12" s="433" t="s">
        <v>45</v>
      </c>
      <c r="B12" s="434"/>
      <c r="C12" s="77"/>
      <c r="D12" s="77"/>
    </row>
    <row r="13" spans="1:4" ht="15.75" thickBot="1">
      <c r="A13" s="449" t="s">
        <v>55</v>
      </c>
      <c r="B13" s="450"/>
      <c r="C13" s="77"/>
      <c r="D13" s="77"/>
    </row>
    <row r="14" spans="1:4" ht="15.75" thickBot="1">
      <c r="A14" s="377" t="s">
        <v>56</v>
      </c>
      <c r="B14" s="378"/>
      <c r="C14" s="77"/>
      <c r="D14" s="77"/>
    </row>
    <row r="15" spans="1:4" ht="15.75" thickBot="1">
      <c r="A15" s="375" t="s">
        <v>57</v>
      </c>
      <c r="B15" s="376"/>
      <c r="C15" s="77"/>
      <c r="D15" s="77"/>
    </row>
    <row r="16" spans="1:4" s="73" customFormat="1" ht="15.75" thickBot="1">
      <c r="A16" s="285" t="s">
        <v>1623</v>
      </c>
      <c r="B16" s="283"/>
      <c r="C16" s="72" t="s">
        <v>370</v>
      </c>
      <c r="D16" s="72">
        <f>1*130+175</f>
        <v>305</v>
      </c>
    </row>
    <row r="17" spans="1:4" ht="15">
      <c r="A17" s="399" t="s">
        <v>1625</v>
      </c>
      <c r="B17" s="400"/>
      <c r="C17" s="105" t="s">
        <v>850</v>
      </c>
      <c r="D17" s="72">
        <v>1</v>
      </c>
    </row>
    <row r="18" spans="1:4" s="73" customFormat="1" ht="15" customHeight="1">
      <c r="A18" s="399" t="s">
        <v>466</v>
      </c>
      <c r="B18" s="400"/>
      <c r="C18" s="72" t="s">
        <v>467</v>
      </c>
      <c r="D18" s="72">
        <v>3.2</v>
      </c>
    </row>
    <row r="19" spans="1:4" ht="15">
      <c r="A19" s="436" t="s">
        <v>60</v>
      </c>
      <c r="B19" s="447"/>
      <c r="C19" s="77"/>
      <c r="D19" s="77"/>
    </row>
    <row r="20" spans="1:4" ht="15">
      <c r="A20" s="436" t="s">
        <v>61</v>
      </c>
      <c r="B20" s="447"/>
      <c r="C20" s="77"/>
      <c r="D20" s="77"/>
    </row>
    <row r="21" spans="1:4" ht="15" customHeight="1">
      <c r="A21" s="436" t="s">
        <v>62</v>
      </c>
      <c r="B21" s="447"/>
      <c r="C21" s="77"/>
      <c r="D21" s="77"/>
    </row>
    <row r="22" spans="1:4" ht="15.75" customHeight="1" thickBot="1">
      <c r="A22" s="445" t="s">
        <v>63</v>
      </c>
      <c r="B22" s="446"/>
      <c r="C22" s="77"/>
      <c r="D22" s="77"/>
    </row>
    <row r="23" spans="1:4" ht="15.75" thickBot="1">
      <c r="A23" s="387" t="s">
        <v>64</v>
      </c>
      <c r="B23" s="377"/>
      <c r="C23" s="77"/>
      <c r="D23" s="77"/>
    </row>
    <row r="24" spans="1:4" ht="15">
      <c r="A24" s="388" t="s">
        <v>66</v>
      </c>
      <c r="B24" s="389"/>
      <c r="C24" s="77"/>
      <c r="D24" s="77"/>
    </row>
    <row r="25" spans="1:4" ht="15">
      <c r="A25" s="60" t="s">
        <v>68</v>
      </c>
      <c r="B25" s="61"/>
      <c r="C25" s="77"/>
      <c r="D25" s="77"/>
    </row>
    <row r="26" spans="1:4" ht="15" customHeight="1">
      <c r="A26" s="87" t="s">
        <v>343</v>
      </c>
      <c r="B26" s="140"/>
      <c r="C26" s="181" t="s">
        <v>369</v>
      </c>
      <c r="D26" s="199">
        <f>0.5+0.5</f>
        <v>1</v>
      </c>
    </row>
    <row r="27" spans="1:4" ht="15" customHeight="1">
      <c r="A27" s="87" t="s">
        <v>333</v>
      </c>
      <c r="B27" s="140"/>
      <c r="C27" s="181" t="s">
        <v>328</v>
      </c>
      <c r="D27" s="199">
        <v>4</v>
      </c>
    </row>
    <row r="28" spans="1:4" ht="15">
      <c r="A28" s="87" t="s">
        <v>325</v>
      </c>
      <c r="B28" s="140"/>
      <c r="C28" s="181" t="s">
        <v>309</v>
      </c>
      <c r="D28" s="199">
        <v>1</v>
      </c>
    </row>
    <row r="29" spans="1:4" s="73" customFormat="1" ht="16.5" customHeight="1">
      <c r="A29" s="280" t="s">
        <v>1304</v>
      </c>
      <c r="B29" s="281"/>
      <c r="C29" s="105" t="s">
        <v>1162</v>
      </c>
      <c r="D29" s="72">
        <v>1</v>
      </c>
    </row>
    <row r="30" spans="1:4" ht="15" customHeight="1">
      <c r="A30" s="66" t="s">
        <v>80</v>
      </c>
      <c r="B30" s="67"/>
      <c r="C30" s="77"/>
      <c r="D30" s="77"/>
    </row>
    <row r="31" spans="1:4" ht="15" customHeight="1">
      <c r="A31" s="64" t="s">
        <v>82</v>
      </c>
      <c r="B31" s="65"/>
      <c r="C31" s="77"/>
      <c r="D31" s="77"/>
    </row>
    <row r="32" spans="1:4" ht="15">
      <c r="A32" s="64" t="s">
        <v>84</v>
      </c>
      <c r="B32" s="65"/>
      <c r="C32" s="77"/>
      <c r="D32" s="77"/>
    </row>
    <row r="33" spans="1:4" ht="15" customHeight="1">
      <c r="A33" s="64" t="s">
        <v>86</v>
      </c>
      <c r="B33" s="65"/>
      <c r="C33" s="77"/>
      <c r="D33" s="77"/>
    </row>
    <row r="34" spans="1:4" ht="15" customHeight="1">
      <c r="A34" s="68" t="s">
        <v>88</v>
      </c>
      <c r="B34" s="69"/>
      <c r="C34" s="77"/>
      <c r="D34" s="77"/>
    </row>
    <row r="35" spans="1:4" ht="15">
      <c r="A35" s="390" t="s">
        <v>90</v>
      </c>
      <c r="B35" s="391"/>
      <c r="C35" s="77"/>
      <c r="D35" s="77"/>
    </row>
    <row r="36" spans="1:4" s="73" customFormat="1" ht="15" customHeight="1">
      <c r="A36" s="401" t="s">
        <v>449</v>
      </c>
      <c r="B36" s="402"/>
      <c r="C36" s="72" t="s">
        <v>450</v>
      </c>
      <c r="D36" s="111">
        <f>40/60*2</f>
        <v>1.3333333333333333</v>
      </c>
    </row>
    <row r="37" spans="1:4" s="73" customFormat="1" ht="29.25" customHeight="1">
      <c r="A37" s="401" t="s">
        <v>483</v>
      </c>
      <c r="B37" s="402"/>
      <c r="C37" s="105" t="s">
        <v>484</v>
      </c>
      <c r="D37" s="72">
        <v>1.5</v>
      </c>
    </row>
    <row r="38" spans="1:4" s="73" customFormat="1" ht="33" customHeight="1">
      <c r="A38" s="280" t="s">
        <v>905</v>
      </c>
      <c r="B38" s="281"/>
      <c r="C38" s="105" t="s">
        <v>906</v>
      </c>
      <c r="D38" s="72">
        <v>1.2</v>
      </c>
    </row>
    <row r="39" spans="1:4" ht="15">
      <c r="A39" s="437" t="s">
        <v>96</v>
      </c>
      <c r="B39" s="438"/>
      <c r="C39" s="77"/>
      <c r="D39" s="77"/>
    </row>
    <row r="40" spans="1:4" ht="15.75" customHeight="1" thickBot="1">
      <c r="A40" s="439" t="s">
        <v>98</v>
      </c>
      <c r="B40" s="440"/>
      <c r="C40" s="77"/>
      <c r="D40" s="77"/>
    </row>
    <row r="41" spans="1:4" ht="15.75" thickBot="1">
      <c r="A41" s="377" t="s">
        <v>99</v>
      </c>
      <c r="B41" s="378"/>
      <c r="C41" s="77"/>
      <c r="D41" s="77"/>
    </row>
    <row r="42" spans="1:4" ht="30.75" customHeight="1" thickBot="1">
      <c r="A42" s="501" t="s">
        <v>307</v>
      </c>
      <c r="B42" s="502"/>
      <c r="C42" s="78" t="s">
        <v>417</v>
      </c>
      <c r="D42" s="80" t="s">
        <v>416</v>
      </c>
    </row>
    <row r="43" spans="1:4" ht="15.75" thickBot="1">
      <c r="A43" s="377" t="s">
        <v>101</v>
      </c>
      <c r="B43" s="378"/>
      <c r="C43" s="77"/>
      <c r="D43" s="77"/>
    </row>
    <row r="44" spans="1:4" ht="15.75" thickBot="1">
      <c r="A44" s="443" t="s">
        <v>102</v>
      </c>
      <c r="B44" s="375"/>
      <c r="C44" s="77" t="s">
        <v>243</v>
      </c>
      <c r="D44" s="77"/>
    </row>
    <row r="45" spans="1:4" s="73" customFormat="1" ht="15">
      <c r="A45" s="286" t="s">
        <v>1624</v>
      </c>
      <c r="B45" s="284"/>
      <c r="C45" s="72" t="s">
        <v>243</v>
      </c>
      <c r="D45" s="72">
        <f>175+130</f>
        <v>305</v>
      </c>
    </row>
    <row r="46" spans="1:4" ht="15">
      <c r="A46" s="286" t="s">
        <v>254</v>
      </c>
      <c r="B46" s="135"/>
      <c r="C46" s="199"/>
      <c r="D46" s="199">
        <v>1</v>
      </c>
    </row>
    <row r="47" spans="1:4" s="73" customFormat="1" ht="15">
      <c r="A47" s="299" t="s">
        <v>469</v>
      </c>
      <c r="B47" s="116"/>
      <c r="C47" s="72" t="s">
        <v>243</v>
      </c>
      <c r="D47" s="72">
        <v>0.5</v>
      </c>
    </row>
    <row r="48" spans="1:4" s="73" customFormat="1" ht="15">
      <c r="A48" s="282" t="s">
        <v>1626</v>
      </c>
      <c r="B48" s="116"/>
      <c r="C48" s="72" t="s">
        <v>243</v>
      </c>
      <c r="D48" s="72">
        <v>1</v>
      </c>
    </row>
    <row r="49" spans="1:4" ht="15">
      <c r="A49" s="95" t="s">
        <v>254</v>
      </c>
      <c r="B49" s="70"/>
      <c r="C49" s="77"/>
      <c r="D49" s="77">
        <v>1</v>
      </c>
    </row>
    <row r="50" spans="1:4" ht="15.75" thickBot="1">
      <c r="A50" s="395" t="s">
        <v>103</v>
      </c>
      <c r="B50" s="396"/>
      <c r="C50" s="77"/>
      <c r="D50" s="77"/>
    </row>
    <row r="51" spans="1:4" ht="15.75" thickBot="1">
      <c r="A51" s="397" t="s">
        <v>104</v>
      </c>
      <c r="B51" s="398"/>
      <c r="C51" s="77"/>
      <c r="D51" s="77"/>
    </row>
    <row r="52" spans="1:4" ht="15">
      <c r="A52" s="79"/>
      <c r="B52" s="79"/>
      <c r="C52" s="76"/>
      <c r="D52" s="76"/>
    </row>
    <row r="53" spans="1:4" ht="15.75">
      <c r="A53" s="394" t="s">
        <v>233</v>
      </c>
      <c r="B53" s="394"/>
      <c r="C53" s="394"/>
      <c r="D53" s="394"/>
    </row>
    <row r="54" spans="1:4" ht="15">
      <c r="A54" s="76"/>
      <c r="B54" s="76"/>
      <c r="C54" s="76"/>
      <c r="D54" s="76"/>
    </row>
    <row r="55" spans="1:4" ht="15.75">
      <c r="A55" s="394" t="s">
        <v>234</v>
      </c>
      <c r="B55" s="394"/>
      <c r="C55" s="394"/>
      <c r="D55" s="394"/>
    </row>
  </sheetData>
  <sheetProtection/>
  <mergeCells count="35">
    <mergeCell ref="A53:D53"/>
    <mergeCell ref="A55:D55"/>
    <mergeCell ref="A37:B37"/>
    <mergeCell ref="A39:B39"/>
    <mergeCell ref="A40:B40"/>
    <mergeCell ref="A41:B41"/>
    <mergeCell ref="A42:B42"/>
    <mergeCell ref="A43:B43"/>
    <mergeCell ref="A44:B44"/>
    <mergeCell ref="A50:B50"/>
    <mergeCell ref="A51:B51"/>
    <mergeCell ref="A36:B36"/>
    <mergeCell ref="A14:B14"/>
    <mergeCell ref="A15:B15"/>
    <mergeCell ref="A17:B17"/>
    <mergeCell ref="A18:B18"/>
    <mergeCell ref="A19:B19"/>
    <mergeCell ref="A20:B20"/>
    <mergeCell ref="A21:B21"/>
    <mergeCell ref="A22:B22"/>
    <mergeCell ref="A23:B23"/>
    <mergeCell ref="A24:B24"/>
    <mergeCell ref="A35:B35"/>
    <mergeCell ref="A13:B13"/>
    <mergeCell ref="A1:D1"/>
    <mergeCell ref="A2:D2"/>
    <mergeCell ref="A3:D3"/>
    <mergeCell ref="A5:B5"/>
    <mergeCell ref="A6:B6"/>
    <mergeCell ref="A7:B7"/>
    <mergeCell ref="A8:B8"/>
    <mergeCell ref="A9:B9"/>
    <mergeCell ref="A10:B10"/>
    <mergeCell ref="A11:B11"/>
    <mergeCell ref="A12:B12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D58"/>
  <sheetViews>
    <sheetView zoomScalePageLayoutView="0" workbookViewId="0" topLeftCell="A25">
      <selection activeCell="J42" sqref="J42"/>
    </sheetView>
  </sheetViews>
  <sheetFormatPr defaultColWidth="9.140625" defaultRowHeight="15"/>
  <cols>
    <col min="1" max="1" width="80.8515625" style="0" customWidth="1"/>
    <col min="2" max="2" width="3.28125" style="0" hidden="1" customWidth="1"/>
    <col min="3" max="3" width="22.140625" style="0" customWidth="1"/>
  </cols>
  <sheetData>
    <row r="1" spans="1:4" ht="15.75">
      <c r="A1" s="381" t="s">
        <v>959</v>
      </c>
      <c r="B1" s="381"/>
      <c r="C1" s="381"/>
      <c r="D1" s="381"/>
    </row>
    <row r="2" spans="1:4" ht="15.75">
      <c r="A2" s="382" t="s">
        <v>248</v>
      </c>
      <c r="B2" s="382"/>
      <c r="C2" s="382"/>
      <c r="D2" s="382"/>
    </row>
    <row r="3" spans="1:4" s="55" customFormat="1" ht="15.75">
      <c r="A3" s="382" t="s">
        <v>1627</v>
      </c>
      <c r="B3" s="382"/>
      <c r="C3" s="382"/>
      <c r="D3" s="382"/>
    </row>
    <row r="4" spans="1:4" s="55" customFormat="1" ht="15.75">
      <c r="A4" s="107"/>
      <c r="B4" s="107"/>
      <c r="C4" s="89"/>
      <c r="D4" s="89"/>
    </row>
    <row r="5" spans="1:4" ht="30">
      <c r="A5" s="383" t="s">
        <v>229</v>
      </c>
      <c r="B5" s="384"/>
      <c r="C5" s="86" t="s">
        <v>231</v>
      </c>
      <c r="D5" s="85" t="s">
        <v>530</v>
      </c>
    </row>
    <row r="6" spans="1:4" ht="15">
      <c r="A6" s="383" t="s">
        <v>229</v>
      </c>
      <c r="B6" s="384"/>
      <c r="C6" s="73"/>
      <c r="D6" s="73"/>
    </row>
    <row r="7" spans="1:4" ht="15.75" thickBot="1">
      <c r="A7" s="379" t="s">
        <v>0</v>
      </c>
      <c r="B7" s="380"/>
      <c r="C7" s="76"/>
      <c r="D7" s="76"/>
    </row>
    <row r="8" spans="1:4" ht="15">
      <c r="A8" s="435" t="s">
        <v>24</v>
      </c>
      <c r="B8" s="436"/>
      <c r="C8" s="77"/>
      <c r="D8" s="77"/>
    </row>
    <row r="9" spans="1:4" ht="15">
      <c r="A9" s="435" t="s">
        <v>236</v>
      </c>
      <c r="B9" s="436"/>
      <c r="C9" s="77"/>
      <c r="D9" s="77"/>
    </row>
    <row r="10" spans="1:4" ht="15.75" thickBot="1">
      <c r="A10" s="451" t="s">
        <v>28</v>
      </c>
      <c r="B10" s="445"/>
      <c r="C10" s="77"/>
      <c r="D10" s="77"/>
    </row>
    <row r="11" spans="1:4" ht="15.75" thickBot="1">
      <c r="A11" s="375" t="s">
        <v>29</v>
      </c>
      <c r="B11" s="376"/>
      <c r="C11" s="77"/>
      <c r="D11" s="77"/>
    </row>
    <row r="12" spans="1:4" ht="15">
      <c r="A12" s="433" t="s">
        <v>45</v>
      </c>
      <c r="B12" s="434"/>
      <c r="C12" s="77"/>
      <c r="D12" s="77"/>
    </row>
    <row r="13" spans="1:4" ht="15.75" thickBot="1">
      <c r="A13" s="449" t="s">
        <v>55</v>
      </c>
      <c r="B13" s="450"/>
      <c r="C13" s="77"/>
      <c r="D13" s="77"/>
    </row>
    <row r="14" spans="1:4" ht="15.75" thickBot="1">
      <c r="A14" s="377" t="s">
        <v>56</v>
      </c>
      <c r="B14" s="378"/>
      <c r="C14" s="77"/>
      <c r="D14" s="77"/>
    </row>
    <row r="15" spans="1:4" ht="15.75" thickBot="1">
      <c r="A15" s="375" t="s">
        <v>57</v>
      </c>
      <c r="B15" s="376"/>
      <c r="C15" s="77"/>
      <c r="D15" s="77"/>
    </row>
    <row r="16" spans="1:4" ht="15">
      <c r="A16" s="399" t="s">
        <v>335</v>
      </c>
      <c r="B16" s="400"/>
      <c r="C16" s="181" t="s">
        <v>362</v>
      </c>
      <c r="D16" s="199">
        <f>2+2+2</f>
        <v>6</v>
      </c>
    </row>
    <row r="17" spans="1:4" ht="30">
      <c r="A17" s="399" t="s">
        <v>1625</v>
      </c>
      <c r="B17" s="400"/>
      <c r="C17" s="105" t="s">
        <v>850</v>
      </c>
      <c r="D17" s="72">
        <v>1</v>
      </c>
    </row>
    <row r="18" spans="1:4" s="73" customFormat="1" ht="15" customHeight="1">
      <c r="A18" s="399" t="s">
        <v>466</v>
      </c>
      <c r="B18" s="400"/>
      <c r="C18" s="72" t="s">
        <v>467</v>
      </c>
      <c r="D18" s="72">
        <v>3.2</v>
      </c>
    </row>
    <row r="19" spans="1:4" s="73" customFormat="1" ht="18.75" customHeight="1">
      <c r="A19" s="399" t="s">
        <v>892</v>
      </c>
      <c r="B19" s="400"/>
      <c r="C19" s="105" t="s">
        <v>893</v>
      </c>
      <c r="D19" s="72">
        <v>4.8</v>
      </c>
    </row>
    <row r="20" spans="1:4" s="73" customFormat="1" ht="15">
      <c r="A20" s="399" t="s">
        <v>1496</v>
      </c>
      <c r="B20" s="400"/>
      <c r="C20" s="72" t="s">
        <v>1497</v>
      </c>
      <c r="D20" s="72">
        <v>16</v>
      </c>
    </row>
    <row r="21" spans="1:4" s="73" customFormat="1" ht="15">
      <c r="A21" s="72" t="s">
        <v>1498</v>
      </c>
      <c r="B21" s="72"/>
      <c r="C21" s="72" t="s">
        <v>1499</v>
      </c>
      <c r="D21" s="72">
        <v>11</v>
      </c>
    </row>
    <row r="22" spans="1:4" ht="15" customHeight="1">
      <c r="A22" s="436" t="s">
        <v>62</v>
      </c>
      <c r="B22" s="447"/>
      <c r="C22" s="77"/>
      <c r="D22" s="77"/>
    </row>
    <row r="23" spans="1:4" ht="15.75" customHeight="1" thickBot="1">
      <c r="A23" s="445" t="s">
        <v>63</v>
      </c>
      <c r="B23" s="446"/>
      <c r="C23" s="77"/>
      <c r="D23" s="77"/>
    </row>
    <row r="24" spans="1:4" ht="15.75" thickBot="1">
      <c r="A24" s="387" t="s">
        <v>64</v>
      </c>
      <c r="B24" s="377"/>
      <c r="C24" s="77"/>
      <c r="D24" s="77"/>
    </row>
    <row r="25" spans="1:4" ht="15">
      <c r="A25" s="388" t="s">
        <v>66</v>
      </c>
      <c r="B25" s="389"/>
      <c r="C25" s="77"/>
      <c r="D25" s="77"/>
    </row>
    <row r="26" spans="1:4" ht="15">
      <c r="A26" s="60" t="s">
        <v>68</v>
      </c>
      <c r="B26" s="61"/>
      <c r="C26" s="81"/>
      <c r="D26" s="81"/>
    </row>
    <row r="27" spans="1:4" ht="15">
      <c r="A27" s="181" t="s">
        <v>344</v>
      </c>
      <c r="B27" s="181"/>
      <c r="C27" s="181" t="s">
        <v>369</v>
      </c>
      <c r="D27" s="181">
        <f>0.5+0.5</f>
        <v>1</v>
      </c>
    </row>
    <row r="28" spans="1:4" ht="15" customHeight="1">
      <c r="A28" s="87" t="s">
        <v>325</v>
      </c>
      <c r="B28" s="140"/>
      <c r="C28" s="181" t="s">
        <v>326</v>
      </c>
      <c r="D28" s="199">
        <v>1</v>
      </c>
    </row>
    <row r="29" spans="1:4" s="73" customFormat="1" ht="16.5" customHeight="1">
      <c r="A29" s="401" t="s">
        <v>1628</v>
      </c>
      <c r="B29" s="402"/>
      <c r="C29" s="105" t="s">
        <v>342</v>
      </c>
      <c r="D29" s="72">
        <v>2</v>
      </c>
    </row>
    <row r="30" spans="1:4" s="73" customFormat="1" ht="16.5" customHeight="1">
      <c r="A30" s="401" t="s">
        <v>1629</v>
      </c>
      <c r="B30" s="402"/>
      <c r="C30" s="105" t="s">
        <v>1630</v>
      </c>
      <c r="D30" s="72">
        <v>3</v>
      </c>
    </row>
    <row r="31" spans="1:4" s="73" customFormat="1" ht="16.5" customHeight="1">
      <c r="A31" s="287" t="s">
        <v>1304</v>
      </c>
      <c r="B31" s="287"/>
      <c r="C31" s="105" t="s">
        <v>1162</v>
      </c>
      <c r="D31" s="72">
        <v>1</v>
      </c>
    </row>
    <row r="32" spans="1:4" ht="15" customHeight="1">
      <c r="A32" s="68" t="s">
        <v>88</v>
      </c>
      <c r="B32" s="69"/>
      <c r="C32" s="77"/>
      <c r="D32" s="77"/>
    </row>
    <row r="33" spans="1:4" ht="15">
      <c r="A33" s="390" t="s">
        <v>90</v>
      </c>
      <c r="B33" s="391"/>
      <c r="C33" s="77"/>
      <c r="D33" s="77"/>
    </row>
    <row r="34" spans="1:4" s="73" customFormat="1" ht="15" customHeight="1">
      <c r="A34" s="401" t="s">
        <v>449</v>
      </c>
      <c r="B34" s="402"/>
      <c r="C34" s="72" t="s">
        <v>450</v>
      </c>
      <c r="D34" s="111">
        <f>40/60*2</f>
        <v>1.3333333333333333</v>
      </c>
    </row>
    <row r="35" spans="1:4" s="73" customFormat="1" ht="29.25" customHeight="1">
      <c r="A35" s="401" t="s">
        <v>483</v>
      </c>
      <c r="B35" s="402"/>
      <c r="C35" s="105" t="s">
        <v>484</v>
      </c>
      <c r="D35" s="72">
        <v>1.5</v>
      </c>
    </row>
    <row r="36" spans="1:4" s="73" customFormat="1" ht="16.5" customHeight="1">
      <c r="A36" s="401" t="s">
        <v>575</v>
      </c>
      <c r="B36" s="402"/>
      <c r="C36" s="105" t="s">
        <v>499</v>
      </c>
      <c r="D36" s="72">
        <v>3</v>
      </c>
    </row>
    <row r="37" spans="1:4" s="73" customFormat="1" ht="15">
      <c r="A37" s="297" t="s">
        <v>1500</v>
      </c>
      <c r="B37" s="290"/>
      <c r="C37" s="72" t="s">
        <v>663</v>
      </c>
      <c r="D37" s="72">
        <v>8</v>
      </c>
    </row>
    <row r="38" spans="1:4" s="73" customFormat="1" ht="33" customHeight="1">
      <c r="A38" s="292" t="s">
        <v>905</v>
      </c>
      <c r="B38" s="293"/>
      <c r="C38" s="105" t="s">
        <v>906</v>
      </c>
      <c r="D38" s="72">
        <v>1.2</v>
      </c>
    </row>
    <row r="39" spans="1:4" s="73" customFormat="1" ht="32.25" customHeight="1">
      <c r="A39" s="108" t="s">
        <v>1631</v>
      </c>
      <c r="B39" s="88"/>
      <c r="C39" s="105" t="s">
        <v>1306</v>
      </c>
      <c r="D39" s="72">
        <v>3</v>
      </c>
    </row>
    <row r="40" spans="1:4" s="73" customFormat="1" ht="15">
      <c r="A40" s="402" t="s">
        <v>909</v>
      </c>
      <c r="B40" s="413"/>
      <c r="C40" s="72" t="s">
        <v>910</v>
      </c>
      <c r="D40" s="72">
        <v>1.5</v>
      </c>
    </row>
    <row r="41" spans="1:4" s="73" customFormat="1" ht="18" customHeight="1">
      <c r="A41" s="287" t="s">
        <v>1089</v>
      </c>
      <c r="B41" s="289"/>
      <c r="C41" s="72" t="s">
        <v>1090</v>
      </c>
      <c r="D41" s="72">
        <v>1.5</v>
      </c>
    </row>
    <row r="42" spans="1:4" s="73" customFormat="1" ht="29.25" customHeight="1" thickBot="1">
      <c r="A42" s="300" t="s">
        <v>1633</v>
      </c>
      <c r="B42" s="301"/>
      <c r="C42" s="72" t="s">
        <v>1507</v>
      </c>
      <c r="D42" s="72">
        <v>2</v>
      </c>
    </row>
    <row r="43" spans="1:4" ht="15.75" thickBot="1">
      <c r="A43" s="377" t="s">
        <v>99</v>
      </c>
      <c r="B43" s="378"/>
      <c r="C43" s="77"/>
      <c r="D43" s="77"/>
    </row>
    <row r="44" spans="1:4" ht="30.75" customHeight="1" thickBot="1">
      <c r="A44" s="501" t="s">
        <v>307</v>
      </c>
      <c r="B44" s="502"/>
      <c r="C44" s="78" t="s">
        <v>417</v>
      </c>
      <c r="D44" s="80" t="s">
        <v>418</v>
      </c>
    </row>
    <row r="45" spans="1:4" ht="15.75" thickBot="1">
      <c r="A45" s="377" t="s">
        <v>101</v>
      </c>
      <c r="B45" s="378"/>
      <c r="C45" s="77"/>
      <c r="D45" s="77"/>
    </row>
    <row r="46" spans="1:4" ht="15.75" thickBot="1">
      <c r="A46" s="443" t="s">
        <v>102</v>
      </c>
      <c r="B46" s="375"/>
      <c r="C46" s="77" t="s">
        <v>243</v>
      </c>
      <c r="D46" s="77"/>
    </row>
    <row r="47" spans="1:4" ht="15">
      <c r="A47" s="286" t="s">
        <v>277</v>
      </c>
      <c r="B47" s="135"/>
      <c r="C47" s="199"/>
      <c r="D47" s="199">
        <v>1.5</v>
      </c>
    </row>
    <row r="48" spans="1:4" s="73" customFormat="1" ht="15">
      <c r="A48" s="299" t="s">
        <v>469</v>
      </c>
      <c r="B48" s="116"/>
      <c r="C48" s="72" t="s">
        <v>243</v>
      </c>
      <c r="D48" s="72">
        <v>0.5</v>
      </c>
    </row>
    <row r="49" spans="1:4" s="73" customFormat="1" ht="15">
      <c r="A49" s="297" t="s">
        <v>1632</v>
      </c>
      <c r="B49" s="91"/>
      <c r="C49" s="72" t="s">
        <v>243</v>
      </c>
      <c r="D49" s="72">
        <v>1</v>
      </c>
    </row>
    <row r="50" spans="1:4" s="73" customFormat="1" ht="15" customHeight="1">
      <c r="A50" s="297" t="s">
        <v>1634</v>
      </c>
      <c r="B50" s="291"/>
      <c r="C50" s="72" t="s">
        <v>243</v>
      </c>
      <c r="D50" s="72">
        <v>2</v>
      </c>
    </row>
    <row r="51" spans="1:4" ht="15">
      <c r="A51" s="287" t="s">
        <v>1635</v>
      </c>
      <c r="B51" s="287"/>
      <c r="C51" s="72" t="s">
        <v>243</v>
      </c>
      <c r="D51" s="72">
        <v>3</v>
      </c>
    </row>
    <row r="52" spans="1:4" ht="15.75" thickBot="1">
      <c r="A52" s="395" t="s">
        <v>103</v>
      </c>
      <c r="B52" s="396"/>
      <c r="C52" s="77"/>
      <c r="D52" s="77"/>
    </row>
    <row r="53" spans="1:4" ht="15.75" thickBot="1">
      <c r="A53" s="397" t="s">
        <v>104</v>
      </c>
      <c r="B53" s="398"/>
      <c r="C53" s="77"/>
      <c r="D53" s="77"/>
    </row>
    <row r="54" spans="1:4" ht="15">
      <c r="A54" s="79"/>
      <c r="B54" s="79"/>
      <c r="C54" s="76"/>
      <c r="D54" s="76"/>
    </row>
    <row r="55" spans="1:4" ht="15.75">
      <c r="A55" s="394" t="s">
        <v>233</v>
      </c>
      <c r="B55" s="394"/>
      <c r="C55" s="394"/>
      <c r="D55" s="394"/>
    </row>
    <row r="56" spans="1:4" ht="15">
      <c r="A56" s="76"/>
      <c r="B56" s="76"/>
      <c r="C56" s="76"/>
      <c r="D56" s="76"/>
    </row>
    <row r="57" spans="1:4" ht="15.75">
      <c r="A57" s="394" t="s">
        <v>234</v>
      </c>
      <c r="B57" s="394"/>
      <c r="C57" s="394"/>
      <c r="D57" s="394"/>
    </row>
    <row r="58" spans="1:4" ht="15">
      <c r="A58" s="76"/>
      <c r="B58" s="76"/>
      <c r="C58" s="76"/>
      <c r="D58" s="76"/>
    </row>
  </sheetData>
  <sheetProtection/>
  <mergeCells count="38">
    <mergeCell ref="A55:D55"/>
    <mergeCell ref="A57:D57"/>
    <mergeCell ref="A43:B43"/>
    <mergeCell ref="A44:B44"/>
    <mergeCell ref="A45:B45"/>
    <mergeCell ref="A46:B46"/>
    <mergeCell ref="A52:B52"/>
    <mergeCell ref="A53:B53"/>
    <mergeCell ref="A17:B17"/>
    <mergeCell ref="A18:B18"/>
    <mergeCell ref="A19:B19"/>
    <mergeCell ref="A22:B22"/>
    <mergeCell ref="A23:B23"/>
    <mergeCell ref="A40:B40"/>
    <mergeCell ref="A13:B13"/>
    <mergeCell ref="A1:D1"/>
    <mergeCell ref="A2:D2"/>
    <mergeCell ref="A3:D3"/>
    <mergeCell ref="A5:B5"/>
    <mergeCell ref="A6:B6"/>
    <mergeCell ref="A7:B7"/>
    <mergeCell ref="A8:B8"/>
    <mergeCell ref="A9:B9"/>
    <mergeCell ref="A10:B10"/>
    <mergeCell ref="A11:B11"/>
    <mergeCell ref="A12:B12"/>
    <mergeCell ref="A14:B14"/>
    <mergeCell ref="A15:B15"/>
    <mergeCell ref="A16:B16"/>
    <mergeCell ref="A34:B34"/>
    <mergeCell ref="A35:B35"/>
    <mergeCell ref="A36:B36"/>
    <mergeCell ref="A29:B29"/>
    <mergeCell ref="A20:B20"/>
    <mergeCell ref="A30:B30"/>
    <mergeCell ref="A24:B24"/>
    <mergeCell ref="A25:B25"/>
    <mergeCell ref="A33:B33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39"/>
  <sheetViews>
    <sheetView zoomScalePageLayoutView="0" workbookViewId="0" topLeftCell="A82">
      <selection activeCell="I13" sqref="H13:I14"/>
    </sheetView>
  </sheetViews>
  <sheetFormatPr defaultColWidth="9.140625" defaultRowHeight="15"/>
  <cols>
    <col min="1" max="1" width="88.57421875" style="0" customWidth="1"/>
    <col min="2" max="2" width="3.28125" style="0" hidden="1" customWidth="1"/>
    <col min="3" max="3" width="33.28125" style="0" customWidth="1"/>
    <col min="5" max="5" width="7.7109375" style="0" customWidth="1"/>
  </cols>
  <sheetData>
    <row r="1" spans="1:4" ht="15.75">
      <c r="A1" s="381" t="s">
        <v>911</v>
      </c>
      <c r="B1" s="381"/>
      <c r="C1" s="381"/>
      <c r="D1" s="381"/>
    </row>
    <row r="2" spans="1:4" ht="15.75">
      <c r="A2" s="382" t="s">
        <v>264</v>
      </c>
      <c r="B2" s="382"/>
      <c r="C2" s="382"/>
      <c r="D2" s="382"/>
    </row>
    <row r="3" spans="1:4" s="55" customFormat="1" ht="15.75">
      <c r="A3" s="382" t="s">
        <v>885</v>
      </c>
      <c r="B3" s="382"/>
      <c r="C3" s="382"/>
      <c r="D3" s="382"/>
    </row>
    <row r="4" spans="1:4" s="55" customFormat="1" ht="15.75">
      <c r="A4" s="179"/>
      <c r="B4" s="179"/>
      <c r="C4" s="75"/>
      <c r="D4" s="75"/>
    </row>
    <row r="5" spans="1:4" ht="30">
      <c r="A5" s="383" t="s">
        <v>229</v>
      </c>
      <c r="B5" s="384"/>
      <c r="C5" s="86" t="s">
        <v>240</v>
      </c>
      <c r="D5" s="85" t="s">
        <v>533</v>
      </c>
    </row>
    <row r="6" spans="1:4" ht="15">
      <c r="A6" s="383" t="s">
        <v>229</v>
      </c>
      <c r="B6" s="384"/>
      <c r="C6" s="114"/>
      <c r="D6" s="115"/>
    </row>
    <row r="7" spans="1:4" ht="15">
      <c r="A7" s="414" t="s">
        <v>0</v>
      </c>
      <c r="B7" s="415"/>
      <c r="C7" s="114"/>
      <c r="D7" s="115"/>
    </row>
    <row r="8" spans="1:4" ht="15.75" thickBot="1">
      <c r="A8" s="407" t="s">
        <v>29</v>
      </c>
      <c r="B8" s="408"/>
      <c r="C8" s="183"/>
      <c r="D8" s="183">
        <f>2616.9*14</f>
        <v>36636.6</v>
      </c>
    </row>
    <row r="9" spans="1:4" ht="15">
      <c r="A9" s="409" t="s">
        <v>306</v>
      </c>
      <c r="B9" s="410"/>
      <c r="C9" s="183"/>
      <c r="D9" s="183"/>
    </row>
    <row r="10" spans="1:4" ht="15">
      <c r="A10" s="210" t="s">
        <v>886</v>
      </c>
      <c r="B10" s="210"/>
      <c r="C10" s="183" t="s">
        <v>887</v>
      </c>
      <c r="D10" s="183">
        <f>32*130</f>
        <v>4160</v>
      </c>
    </row>
    <row r="11" spans="1:4" ht="15.75" thickBot="1">
      <c r="A11" t="s">
        <v>788</v>
      </c>
      <c r="C11" s="72"/>
      <c r="D11" s="72">
        <v>87.56</v>
      </c>
    </row>
    <row r="12" spans="1:4" ht="15.75" thickBot="1">
      <c r="A12" s="416" t="s">
        <v>56</v>
      </c>
      <c r="B12" s="417"/>
      <c r="C12" s="72"/>
      <c r="D12" s="72">
        <f>1.25*1236.4*14</f>
        <v>21637</v>
      </c>
    </row>
    <row r="13" spans="1:5" ht="15.75" thickBot="1">
      <c r="A13" s="189" t="s">
        <v>409</v>
      </c>
      <c r="B13" s="190"/>
      <c r="C13" s="72"/>
      <c r="D13" s="72">
        <f>14*216.3*67.34</f>
        <v>203918.98800000004</v>
      </c>
      <c r="E13">
        <v>162.6</v>
      </c>
    </row>
    <row r="14" spans="1:5" s="73" customFormat="1" ht="15" customHeight="1" thickBot="1">
      <c r="A14" s="411" t="s">
        <v>57</v>
      </c>
      <c r="B14" s="412"/>
      <c r="C14" s="72"/>
      <c r="D14" s="72"/>
      <c r="E14"/>
    </row>
    <row r="15" spans="1:5" ht="15.75" thickBot="1">
      <c r="A15" s="191" t="s">
        <v>789</v>
      </c>
      <c r="B15" s="192"/>
      <c r="C15" s="105" t="s">
        <v>790</v>
      </c>
      <c r="D15" s="72">
        <v>4.5</v>
      </c>
      <c r="E15">
        <v>4.5</v>
      </c>
    </row>
    <row r="16" spans="1:5" ht="15.75" thickBot="1">
      <c r="A16" s="191" t="s">
        <v>791</v>
      </c>
      <c r="B16" s="192"/>
      <c r="C16" s="72" t="s">
        <v>370</v>
      </c>
      <c r="D16" s="72">
        <v>2</v>
      </c>
      <c r="E16">
        <v>2</v>
      </c>
    </row>
    <row r="17" spans="1:5" ht="15.75" thickBot="1">
      <c r="A17" s="191" t="s">
        <v>792</v>
      </c>
      <c r="B17" s="192"/>
      <c r="C17" s="72" t="s">
        <v>370</v>
      </c>
      <c r="D17" s="72">
        <v>1</v>
      </c>
      <c r="E17">
        <v>1</v>
      </c>
    </row>
    <row r="18" spans="1:4" ht="15" customHeight="1">
      <c r="A18" s="198" t="s">
        <v>843</v>
      </c>
      <c r="B18" s="177"/>
      <c r="C18" s="181" t="s">
        <v>279</v>
      </c>
      <c r="D18" s="199">
        <v>2</v>
      </c>
    </row>
    <row r="19" spans="1:4" ht="15.75" customHeight="1">
      <c r="A19" s="399" t="s">
        <v>831</v>
      </c>
      <c r="B19" s="399"/>
      <c r="C19" s="181" t="s">
        <v>384</v>
      </c>
      <c r="D19" s="199">
        <f>5+5+5</f>
        <v>15</v>
      </c>
    </row>
    <row r="20" spans="1:4" ht="15.75" customHeight="1">
      <c r="A20" s="200" t="s">
        <v>832</v>
      </c>
      <c r="B20" s="201"/>
      <c r="C20" s="181" t="s">
        <v>463</v>
      </c>
      <c r="D20" s="199">
        <v>8</v>
      </c>
    </row>
    <row r="21" spans="1:4" ht="15">
      <c r="A21" s="399" t="s">
        <v>849</v>
      </c>
      <c r="B21" s="400"/>
      <c r="C21" s="105" t="s">
        <v>850</v>
      </c>
      <c r="D21" s="72">
        <f>1+1</f>
        <v>2</v>
      </c>
    </row>
    <row r="22" spans="1:4" s="73" customFormat="1" ht="15" customHeight="1">
      <c r="A22" s="399" t="s">
        <v>851</v>
      </c>
      <c r="B22" s="400"/>
      <c r="C22" s="72" t="s">
        <v>328</v>
      </c>
      <c r="D22" s="72">
        <v>1</v>
      </c>
    </row>
    <row r="23" spans="1:4" s="73" customFormat="1" ht="30" customHeight="1">
      <c r="A23" s="399" t="s">
        <v>440</v>
      </c>
      <c r="B23" s="400"/>
      <c r="C23" s="105" t="s">
        <v>441</v>
      </c>
      <c r="D23" s="72">
        <v>6</v>
      </c>
    </row>
    <row r="24" spans="1:4" s="73" customFormat="1" ht="15.75" customHeight="1">
      <c r="A24" s="223" t="s">
        <v>930</v>
      </c>
      <c r="B24" s="224"/>
      <c r="C24" s="105" t="s">
        <v>931</v>
      </c>
      <c r="D24" s="72">
        <v>2</v>
      </c>
    </row>
    <row r="25" spans="1:4" s="73" customFormat="1" ht="18.75" customHeight="1" thickBot="1">
      <c r="A25" s="399" t="s">
        <v>892</v>
      </c>
      <c r="B25" s="400"/>
      <c r="C25" s="105" t="s">
        <v>893</v>
      </c>
      <c r="D25" s="72">
        <v>4.8</v>
      </c>
    </row>
    <row r="26" spans="1:4" ht="15.75" thickBot="1">
      <c r="A26" s="422" t="s">
        <v>793</v>
      </c>
      <c r="B26" s="416"/>
      <c r="C26" s="77"/>
      <c r="D26" s="72"/>
    </row>
    <row r="27" spans="1:5" ht="15">
      <c r="A27" s="193" t="s">
        <v>804</v>
      </c>
      <c r="B27" s="194"/>
      <c r="C27" s="72" t="s">
        <v>805</v>
      </c>
      <c r="D27" s="72">
        <v>6</v>
      </c>
      <c r="E27">
        <f>3*2</f>
        <v>6</v>
      </c>
    </row>
    <row r="28" spans="1:5" ht="15">
      <c r="A28" s="193" t="s">
        <v>806</v>
      </c>
      <c r="B28" s="194"/>
      <c r="C28" s="72" t="s">
        <v>592</v>
      </c>
      <c r="D28" s="72">
        <v>2</v>
      </c>
      <c r="E28">
        <v>2</v>
      </c>
    </row>
    <row r="29" spans="1:5" s="73" customFormat="1" ht="31.5" customHeight="1">
      <c r="A29" s="193" t="s">
        <v>807</v>
      </c>
      <c r="B29" s="194"/>
      <c r="C29" s="72" t="s">
        <v>794</v>
      </c>
      <c r="D29" s="72">
        <v>4</v>
      </c>
      <c r="E29">
        <v>4</v>
      </c>
    </row>
    <row r="30" spans="1:5" s="73" customFormat="1" ht="17.25" customHeight="1">
      <c r="A30" s="193" t="s">
        <v>808</v>
      </c>
      <c r="B30" s="194"/>
      <c r="C30" s="72" t="s">
        <v>279</v>
      </c>
      <c r="D30" s="72">
        <v>1</v>
      </c>
      <c r="E30">
        <v>1</v>
      </c>
    </row>
    <row r="31" spans="1:5" s="73" customFormat="1" ht="15">
      <c r="A31" s="193" t="s">
        <v>795</v>
      </c>
      <c r="B31" s="194"/>
      <c r="C31" s="72" t="s">
        <v>433</v>
      </c>
      <c r="D31" s="72">
        <v>4</v>
      </c>
      <c r="E31">
        <v>4</v>
      </c>
    </row>
    <row r="32" spans="1:5" s="73" customFormat="1" ht="15">
      <c r="A32" s="193" t="s">
        <v>809</v>
      </c>
      <c r="B32" s="194"/>
      <c r="C32" s="72" t="s">
        <v>279</v>
      </c>
      <c r="D32" s="72">
        <v>2</v>
      </c>
      <c r="E32">
        <v>2</v>
      </c>
    </row>
    <row r="33" spans="1:5" ht="15.75" customHeight="1">
      <c r="A33" s="193" t="s">
        <v>796</v>
      </c>
      <c r="B33" s="194"/>
      <c r="C33" s="72" t="s">
        <v>390</v>
      </c>
      <c r="D33" s="72">
        <v>1</v>
      </c>
      <c r="E33">
        <v>1</v>
      </c>
    </row>
    <row r="34" spans="1:5" ht="15.75" customHeight="1">
      <c r="A34" s="193" t="s">
        <v>797</v>
      </c>
      <c r="B34" s="194"/>
      <c r="C34" s="105" t="s">
        <v>798</v>
      </c>
      <c r="D34" s="72">
        <v>6</v>
      </c>
      <c r="E34">
        <v>6</v>
      </c>
    </row>
    <row r="35" spans="1:5" ht="15.75" customHeight="1">
      <c r="A35" s="193" t="s">
        <v>810</v>
      </c>
      <c r="B35" s="194"/>
      <c r="C35" s="105" t="s">
        <v>811</v>
      </c>
      <c r="D35" s="72">
        <v>3</v>
      </c>
      <c r="E35">
        <v>3</v>
      </c>
    </row>
    <row r="36" spans="1:5" ht="15.75" customHeight="1">
      <c r="A36" s="193" t="s">
        <v>812</v>
      </c>
      <c r="B36" s="194"/>
      <c r="C36" s="105" t="s">
        <v>813</v>
      </c>
      <c r="D36" s="72">
        <v>4</v>
      </c>
      <c r="E36">
        <v>4</v>
      </c>
    </row>
    <row r="37" spans="1:5" ht="15.75" customHeight="1">
      <c r="A37" s="193" t="s">
        <v>814</v>
      </c>
      <c r="B37" s="194"/>
      <c r="C37" s="72" t="s">
        <v>800</v>
      </c>
      <c r="D37" s="72">
        <v>2</v>
      </c>
      <c r="E37">
        <v>2</v>
      </c>
    </row>
    <row r="38" spans="1:5" ht="15.75" customHeight="1">
      <c r="A38" s="193" t="s">
        <v>799</v>
      </c>
      <c r="B38" s="194"/>
      <c r="C38" s="72" t="s">
        <v>800</v>
      </c>
      <c r="D38" s="72">
        <v>7</v>
      </c>
      <c r="E38">
        <v>7</v>
      </c>
    </row>
    <row r="39" spans="1:5" ht="15.75" customHeight="1">
      <c r="A39" s="193" t="s">
        <v>815</v>
      </c>
      <c r="B39" s="194"/>
      <c r="C39" s="72" t="s">
        <v>813</v>
      </c>
      <c r="D39" s="72">
        <v>2</v>
      </c>
      <c r="E39">
        <v>2</v>
      </c>
    </row>
    <row r="40" spans="1:5" ht="15.75" customHeight="1">
      <c r="A40" s="196" t="s">
        <v>816</v>
      </c>
      <c r="B40" s="194"/>
      <c r="C40" s="162"/>
      <c r="D40" s="162">
        <v>1.5</v>
      </c>
      <c r="E40">
        <v>1.5</v>
      </c>
    </row>
    <row r="41" spans="1:4" ht="15">
      <c r="A41" s="193" t="s">
        <v>826</v>
      </c>
      <c r="B41" s="194"/>
      <c r="C41" s="72" t="s">
        <v>328</v>
      </c>
      <c r="D41" s="72">
        <v>2</v>
      </c>
    </row>
    <row r="42" spans="1:4" ht="15">
      <c r="A42" s="193" t="s">
        <v>825</v>
      </c>
      <c r="B42" s="194"/>
      <c r="C42" s="72" t="s">
        <v>360</v>
      </c>
      <c r="D42" s="72">
        <v>2</v>
      </c>
    </row>
    <row r="43" spans="1:4" ht="15">
      <c r="A43" s="193" t="s">
        <v>824</v>
      </c>
      <c r="B43" s="194"/>
      <c r="C43" s="72" t="s">
        <v>823</v>
      </c>
      <c r="D43" s="72">
        <v>16</v>
      </c>
    </row>
    <row r="44" spans="1:4" ht="15">
      <c r="A44" s="90" t="s">
        <v>822</v>
      </c>
      <c r="B44" s="173"/>
      <c r="C44" s="72" t="s">
        <v>279</v>
      </c>
      <c r="D44" s="72">
        <v>1</v>
      </c>
    </row>
    <row r="45" spans="1:4" ht="15">
      <c r="A45" s="90" t="s">
        <v>821</v>
      </c>
      <c r="B45" s="173"/>
      <c r="C45" s="72" t="s">
        <v>279</v>
      </c>
      <c r="D45" s="72">
        <v>1</v>
      </c>
    </row>
    <row r="46" spans="1:4" ht="15">
      <c r="A46" s="90" t="s">
        <v>841</v>
      </c>
      <c r="B46" s="185"/>
      <c r="C46" s="72" t="s">
        <v>400</v>
      </c>
      <c r="D46" s="72">
        <v>1</v>
      </c>
    </row>
    <row r="47" spans="1:4" ht="15">
      <c r="A47" s="90" t="s">
        <v>820</v>
      </c>
      <c r="B47" s="185"/>
      <c r="C47" s="72" t="s">
        <v>279</v>
      </c>
      <c r="D47" s="72">
        <v>2</v>
      </c>
    </row>
    <row r="48" spans="1:4" ht="28.5">
      <c r="A48" s="197" t="s">
        <v>819</v>
      </c>
      <c r="B48" s="194"/>
      <c r="C48" s="72" t="s">
        <v>279</v>
      </c>
      <c r="D48" s="72">
        <v>1</v>
      </c>
    </row>
    <row r="49" spans="1:4" ht="15">
      <c r="A49" s="90" t="s">
        <v>818</v>
      </c>
      <c r="B49" s="185"/>
      <c r="C49" s="72" t="s">
        <v>817</v>
      </c>
      <c r="D49" s="72">
        <v>2</v>
      </c>
    </row>
    <row r="50" spans="1:4" ht="15">
      <c r="A50" s="203" t="s">
        <v>842</v>
      </c>
      <c r="B50" s="91"/>
      <c r="C50" s="72" t="s">
        <v>400</v>
      </c>
      <c r="D50" s="72">
        <v>1</v>
      </c>
    </row>
    <row r="51" spans="1:4" ht="15">
      <c r="A51" s="203" t="s">
        <v>847</v>
      </c>
      <c r="B51" s="91"/>
      <c r="C51" s="72" t="s">
        <v>848</v>
      </c>
      <c r="D51" s="72">
        <v>2</v>
      </c>
    </row>
    <row r="52" spans="1:4" ht="15">
      <c r="A52" s="203" t="s">
        <v>845</v>
      </c>
      <c r="B52" s="91"/>
      <c r="C52" s="72" t="s">
        <v>846</v>
      </c>
      <c r="D52" s="72">
        <v>2</v>
      </c>
    </row>
    <row r="53" spans="1:4" ht="15" customHeight="1">
      <c r="A53" s="87" t="s">
        <v>833</v>
      </c>
      <c r="B53" s="140"/>
      <c r="C53" s="181" t="s">
        <v>390</v>
      </c>
      <c r="D53" s="199">
        <v>2</v>
      </c>
    </row>
    <row r="54" spans="1:4" ht="15" customHeight="1">
      <c r="A54" s="87" t="s">
        <v>839</v>
      </c>
      <c r="B54" s="140"/>
      <c r="C54" s="181" t="s">
        <v>840</v>
      </c>
      <c r="D54" s="199">
        <v>1</v>
      </c>
    </row>
    <row r="55" spans="1:4" ht="15" customHeight="1">
      <c r="A55" s="87" t="s">
        <v>837</v>
      </c>
      <c r="B55" s="140"/>
      <c r="C55" s="181" t="s">
        <v>400</v>
      </c>
      <c r="D55" s="199">
        <v>2</v>
      </c>
    </row>
    <row r="56" spans="1:4" ht="15" customHeight="1">
      <c r="A56" s="87" t="s">
        <v>834</v>
      </c>
      <c r="B56" s="140"/>
      <c r="C56" s="181" t="s">
        <v>279</v>
      </c>
      <c r="D56" s="199">
        <v>2</v>
      </c>
    </row>
    <row r="57" spans="1:4" ht="15" customHeight="1">
      <c r="A57" s="87" t="s">
        <v>844</v>
      </c>
      <c r="B57" s="140"/>
      <c r="C57" s="181" t="s">
        <v>840</v>
      </c>
      <c r="D57" s="199">
        <v>1</v>
      </c>
    </row>
    <row r="58" spans="1:4" ht="15">
      <c r="A58" s="202" t="s">
        <v>835</v>
      </c>
      <c r="B58" s="144"/>
      <c r="C58" s="181" t="s">
        <v>279</v>
      </c>
      <c r="D58" s="199">
        <v>1</v>
      </c>
    </row>
    <row r="59" spans="1:4" ht="15">
      <c r="A59" s="87" t="s">
        <v>869</v>
      </c>
      <c r="B59" s="140"/>
      <c r="C59" s="181"/>
      <c r="D59" s="199"/>
    </row>
    <row r="60" spans="1:4" ht="15">
      <c r="A60" s="87" t="s">
        <v>867</v>
      </c>
      <c r="B60" s="140"/>
      <c r="C60" s="181" t="s">
        <v>856</v>
      </c>
      <c r="D60" s="199">
        <v>5</v>
      </c>
    </row>
    <row r="61" spans="1:4" ht="15">
      <c r="A61" s="87" t="s">
        <v>866</v>
      </c>
      <c r="B61" s="140"/>
      <c r="C61" s="181" t="s">
        <v>714</v>
      </c>
      <c r="D61" s="199">
        <v>4</v>
      </c>
    </row>
    <row r="62" spans="1:4" s="73" customFormat="1" ht="18.75" customHeight="1">
      <c r="A62" s="87" t="s">
        <v>852</v>
      </c>
      <c r="B62" s="88"/>
      <c r="C62" s="105" t="s">
        <v>850</v>
      </c>
      <c r="D62" s="72">
        <f>1+2</f>
        <v>3</v>
      </c>
    </row>
    <row r="63" spans="1:4" s="73" customFormat="1" ht="33" customHeight="1">
      <c r="A63" s="108" t="s">
        <v>863</v>
      </c>
      <c r="B63" s="88"/>
      <c r="C63" s="72" t="s">
        <v>864</v>
      </c>
      <c r="D63" s="72">
        <v>2</v>
      </c>
    </row>
    <row r="64" spans="1:4" ht="19.5" customHeight="1">
      <c r="A64" s="87" t="s">
        <v>853</v>
      </c>
      <c r="B64" s="88"/>
      <c r="C64" s="105" t="s">
        <v>850</v>
      </c>
      <c r="D64" s="72">
        <v>2</v>
      </c>
    </row>
    <row r="65" spans="1:4" ht="17.25" customHeight="1">
      <c r="A65" s="87" t="s">
        <v>862</v>
      </c>
      <c r="B65" s="88"/>
      <c r="C65" s="105" t="s">
        <v>328</v>
      </c>
      <c r="D65" s="72">
        <v>1</v>
      </c>
    </row>
    <row r="66" spans="1:4" ht="20.25" customHeight="1">
      <c r="A66" s="87" t="s">
        <v>861</v>
      </c>
      <c r="B66" s="88"/>
      <c r="C66" s="105" t="s">
        <v>433</v>
      </c>
      <c r="D66" s="72">
        <v>4</v>
      </c>
    </row>
    <row r="67" spans="1:4" ht="18" customHeight="1">
      <c r="A67" s="87" t="s">
        <v>860</v>
      </c>
      <c r="B67" s="88"/>
      <c r="C67" s="105" t="s">
        <v>342</v>
      </c>
      <c r="D67" s="72">
        <v>1.5</v>
      </c>
    </row>
    <row r="68" spans="1:4" s="73" customFormat="1" ht="18.75" customHeight="1">
      <c r="A68" s="87" t="s">
        <v>854</v>
      </c>
      <c r="B68" s="88"/>
      <c r="C68" s="105" t="s">
        <v>433</v>
      </c>
      <c r="D68" s="72">
        <f>2+3</f>
        <v>5</v>
      </c>
    </row>
    <row r="69" spans="1:4" s="73" customFormat="1" ht="27.75" customHeight="1">
      <c r="A69" s="401" t="s">
        <v>855</v>
      </c>
      <c r="B69" s="402"/>
      <c r="C69" s="105" t="s">
        <v>856</v>
      </c>
      <c r="D69" s="72">
        <f>5+5+5</f>
        <v>15</v>
      </c>
    </row>
    <row r="70" spans="1:4" s="73" customFormat="1" ht="21" customHeight="1">
      <c r="A70" s="176" t="s">
        <v>873</v>
      </c>
      <c r="B70" s="178"/>
      <c r="C70" s="105" t="s">
        <v>714</v>
      </c>
      <c r="D70" s="72">
        <f>2+2</f>
        <v>4</v>
      </c>
    </row>
    <row r="71" spans="1:4" s="73" customFormat="1" ht="15" customHeight="1">
      <c r="A71" s="402" t="s">
        <v>857</v>
      </c>
      <c r="B71" s="413"/>
      <c r="C71" s="72" t="s">
        <v>279</v>
      </c>
      <c r="D71" s="72">
        <v>2</v>
      </c>
    </row>
    <row r="72" spans="1:4" s="73" customFormat="1" ht="15">
      <c r="A72" s="402" t="s">
        <v>872</v>
      </c>
      <c r="B72" s="413"/>
      <c r="C72" s="105" t="s">
        <v>714</v>
      </c>
      <c r="D72" s="72">
        <f>2+2</f>
        <v>4</v>
      </c>
    </row>
    <row r="73" spans="1:4" s="73" customFormat="1" ht="15" customHeight="1">
      <c r="A73" s="401" t="s">
        <v>870</v>
      </c>
      <c r="B73" s="402"/>
      <c r="C73" s="72" t="s">
        <v>328</v>
      </c>
      <c r="D73" s="72">
        <v>2</v>
      </c>
    </row>
    <row r="74" spans="1:4" s="73" customFormat="1" ht="29.25" customHeight="1">
      <c r="A74" s="401" t="s">
        <v>483</v>
      </c>
      <c r="B74" s="402"/>
      <c r="C74" s="105" t="s">
        <v>484</v>
      </c>
      <c r="D74" s="72">
        <v>1.5</v>
      </c>
    </row>
    <row r="75" spans="1:4" s="73" customFormat="1" ht="15">
      <c r="A75" s="402" t="s">
        <v>527</v>
      </c>
      <c r="B75" s="413"/>
      <c r="C75" s="72" t="s">
        <v>528</v>
      </c>
      <c r="D75" s="72">
        <v>2.8</v>
      </c>
    </row>
    <row r="76" spans="1:4" ht="31.5" customHeight="1">
      <c r="A76" s="424" t="s">
        <v>871</v>
      </c>
      <c r="B76" s="425"/>
      <c r="C76" s="72" t="s">
        <v>461</v>
      </c>
      <c r="D76" s="72">
        <f>2+2</f>
        <v>4</v>
      </c>
    </row>
    <row r="77" spans="1:4" ht="15.75" customHeight="1">
      <c r="A77" s="424" t="s">
        <v>541</v>
      </c>
      <c r="B77" s="425"/>
      <c r="C77" s="72" t="s">
        <v>400</v>
      </c>
      <c r="D77" s="72">
        <v>2</v>
      </c>
    </row>
    <row r="78" spans="1:4" ht="15.75" customHeight="1">
      <c r="A78" s="424" t="s">
        <v>538</v>
      </c>
      <c r="B78" s="425"/>
      <c r="C78" s="72" t="s">
        <v>461</v>
      </c>
      <c r="D78" s="72">
        <v>1.5</v>
      </c>
    </row>
    <row r="79" spans="1:4" ht="15.75" customHeight="1">
      <c r="A79" s="401" t="s">
        <v>539</v>
      </c>
      <c r="B79" s="401"/>
      <c r="C79" s="72" t="s">
        <v>279</v>
      </c>
      <c r="D79" s="72">
        <v>3.5</v>
      </c>
    </row>
    <row r="80" spans="1:4" s="73" customFormat="1" ht="15" customHeight="1">
      <c r="A80" s="401" t="s">
        <v>874</v>
      </c>
      <c r="B80" s="402"/>
      <c r="C80" s="72" t="s">
        <v>279</v>
      </c>
      <c r="D80" s="72">
        <v>1.5</v>
      </c>
    </row>
    <row r="81" spans="1:4" s="73" customFormat="1" ht="17.25" customHeight="1">
      <c r="A81" s="401" t="s">
        <v>875</v>
      </c>
      <c r="B81" s="402"/>
      <c r="C81" s="105" t="s">
        <v>499</v>
      </c>
      <c r="D81" s="72">
        <v>4</v>
      </c>
    </row>
    <row r="82" spans="1:4" s="73" customFormat="1" ht="15">
      <c r="A82" s="402" t="s">
        <v>601</v>
      </c>
      <c r="B82" s="413"/>
      <c r="C82" s="72" t="s">
        <v>342</v>
      </c>
      <c r="D82" s="72">
        <v>1.5</v>
      </c>
    </row>
    <row r="83" spans="1:4" ht="15.75" customHeight="1">
      <c r="A83" s="196" t="s">
        <v>876</v>
      </c>
      <c r="B83" s="194"/>
      <c r="C83" s="162" t="s">
        <v>357</v>
      </c>
      <c r="D83" s="162">
        <v>4</v>
      </c>
    </row>
    <row r="84" spans="1:4" s="73" customFormat="1" ht="15" customHeight="1">
      <c r="A84" s="401" t="s">
        <v>675</v>
      </c>
      <c r="B84" s="402"/>
      <c r="C84" s="72" t="s">
        <v>447</v>
      </c>
      <c r="D84" s="72">
        <v>2</v>
      </c>
    </row>
    <row r="85" spans="1:4" s="73" customFormat="1" ht="17.25" customHeight="1">
      <c r="A85" s="401" t="s">
        <v>731</v>
      </c>
      <c r="B85" s="402"/>
      <c r="C85" s="105" t="s">
        <v>592</v>
      </c>
      <c r="D85" s="72">
        <v>6</v>
      </c>
    </row>
    <row r="86" spans="1:4" s="73" customFormat="1" ht="30" customHeight="1">
      <c r="A86" s="401" t="s">
        <v>895</v>
      </c>
      <c r="B86" s="402"/>
      <c r="C86" s="105" t="s">
        <v>896</v>
      </c>
      <c r="D86" s="72">
        <v>2</v>
      </c>
    </row>
    <row r="87" spans="1:4" s="94" customFormat="1" ht="15.75" customHeight="1" thickBot="1">
      <c r="A87" s="403" t="s">
        <v>897</v>
      </c>
      <c r="B87" s="404"/>
      <c r="C87" s="219" t="s">
        <v>898</v>
      </c>
      <c r="D87" s="199">
        <v>2</v>
      </c>
    </row>
    <row r="88" spans="1:4" s="73" customFormat="1" ht="15.75" thickBot="1">
      <c r="A88" s="405" t="s">
        <v>899</v>
      </c>
      <c r="B88" s="406"/>
      <c r="C88" s="72" t="s">
        <v>613</v>
      </c>
      <c r="D88" s="72">
        <v>2</v>
      </c>
    </row>
    <row r="89" spans="1:4" s="73" customFormat="1" ht="15" customHeight="1">
      <c r="A89" s="87" t="s">
        <v>900</v>
      </c>
      <c r="B89" s="88"/>
      <c r="C89" s="72" t="s">
        <v>901</v>
      </c>
      <c r="D89" s="72">
        <v>2</v>
      </c>
    </row>
    <row r="90" spans="1:4" s="94" customFormat="1" ht="21.75" customHeight="1">
      <c r="A90" s="428" t="s">
        <v>902</v>
      </c>
      <c r="B90" s="429"/>
      <c r="C90" s="220" t="s">
        <v>378</v>
      </c>
      <c r="D90" s="199">
        <v>1</v>
      </c>
    </row>
    <row r="91" spans="1:4" s="94" customFormat="1" ht="30.75" customHeight="1">
      <c r="A91" s="429" t="s">
        <v>903</v>
      </c>
      <c r="B91" s="430"/>
      <c r="C91" s="199" t="s">
        <v>904</v>
      </c>
      <c r="D91" s="199">
        <v>6</v>
      </c>
    </row>
    <row r="92" spans="1:4" s="73" customFormat="1" ht="33" customHeight="1">
      <c r="A92" s="213" t="s">
        <v>905</v>
      </c>
      <c r="B92" s="214"/>
      <c r="C92" s="105" t="s">
        <v>906</v>
      </c>
      <c r="D92" s="72">
        <v>1.2</v>
      </c>
    </row>
    <row r="93" spans="1:4" s="73" customFormat="1" ht="15">
      <c r="A93" s="402" t="s">
        <v>907</v>
      </c>
      <c r="B93" s="413"/>
      <c r="C93" s="72" t="s">
        <v>908</v>
      </c>
      <c r="D93" s="72">
        <v>2.25</v>
      </c>
    </row>
    <row r="94" spans="1:4" s="73" customFormat="1" ht="15">
      <c r="A94" s="402" t="s">
        <v>909</v>
      </c>
      <c r="B94" s="413"/>
      <c r="C94" s="72" t="s">
        <v>910</v>
      </c>
      <c r="D94" s="72">
        <v>1.5</v>
      </c>
    </row>
    <row r="95" spans="1:4" s="73" customFormat="1" ht="15">
      <c r="A95" s="221" t="s">
        <v>916</v>
      </c>
      <c r="B95" s="222"/>
      <c r="C95" s="72" t="s">
        <v>915</v>
      </c>
      <c r="D95" s="72">
        <v>3.2</v>
      </c>
    </row>
    <row r="96" spans="1:4" s="73" customFormat="1" ht="28.5">
      <c r="A96" s="221" t="s">
        <v>918</v>
      </c>
      <c r="B96" s="222"/>
      <c r="C96" s="72" t="s">
        <v>917</v>
      </c>
      <c r="D96" s="72">
        <v>2</v>
      </c>
    </row>
    <row r="97" spans="1:4" s="73" customFormat="1" ht="15">
      <c r="A97" s="402" t="s">
        <v>922</v>
      </c>
      <c r="B97" s="413"/>
      <c r="C97" s="72" t="s">
        <v>910</v>
      </c>
      <c r="D97" s="72">
        <v>1.5</v>
      </c>
    </row>
    <row r="98" spans="1:4" s="73" customFormat="1" ht="15">
      <c r="A98" s="402" t="s">
        <v>923</v>
      </c>
      <c r="B98" s="413"/>
      <c r="C98" s="72" t="s">
        <v>910</v>
      </c>
      <c r="D98" s="72">
        <v>1.5</v>
      </c>
    </row>
    <row r="99" spans="1:4" s="73" customFormat="1" ht="15">
      <c r="A99" s="402" t="s">
        <v>924</v>
      </c>
      <c r="B99" s="413"/>
      <c r="C99" s="72" t="s">
        <v>910</v>
      </c>
      <c r="D99" s="72">
        <v>1.5</v>
      </c>
    </row>
    <row r="100" spans="1:4" s="73" customFormat="1" ht="28.5">
      <c r="A100" s="221" t="s">
        <v>921</v>
      </c>
      <c r="B100" s="222"/>
      <c r="C100" s="72" t="s">
        <v>378</v>
      </c>
      <c r="D100" s="72">
        <v>2</v>
      </c>
    </row>
    <row r="101" spans="1:4" s="73" customFormat="1" ht="15">
      <c r="A101" s="221" t="s">
        <v>920</v>
      </c>
      <c r="B101" s="222"/>
      <c r="C101" s="72" t="s">
        <v>429</v>
      </c>
      <c r="D101" s="72">
        <v>2</v>
      </c>
    </row>
    <row r="102" spans="1:4" s="73" customFormat="1" ht="15">
      <c r="A102" s="221" t="s">
        <v>919</v>
      </c>
      <c r="B102" s="222"/>
      <c r="C102" s="72" t="s">
        <v>724</v>
      </c>
      <c r="D102" s="72">
        <v>2</v>
      </c>
    </row>
    <row r="103" spans="1:4" s="73" customFormat="1" ht="15">
      <c r="A103" s="402" t="s">
        <v>925</v>
      </c>
      <c r="B103" s="413"/>
      <c r="C103" s="72" t="s">
        <v>910</v>
      </c>
      <c r="D103" s="72">
        <v>1.5</v>
      </c>
    </row>
    <row r="104" spans="1:4" s="73" customFormat="1" ht="15">
      <c r="A104" s="221" t="s">
        <v>926</v>
      </c>
      <c r="B104" s="222"/>
      <c r="C104" s="72" t="s">
        <v>910</v>
      </c>
      <c r="D104" s="72">
        <v>1.5</v>
      </c>
    </row>
    <row r="105" spans="1:4" s="73" customFormat="1" ht="15">
      <c r="A105" s="221" t="s">
        <v>927</v>
      </c>
      <c r="B105" s="222"/>
      <c r="C105" s="72" t="s">
        <v>910</v>
      </c>
      <c r="D105" s="72">
        <v>1.5</v>
      </c>
    </row>
    <row r="106" spans="1:4" s="73" customFormat="1" ht="15">
      <c r="A106" s="221" t="s">
        <v>928</v>
      </c>
      <c r="B106" s="222"/>
      <c r="C106" s="72" t="s">
        <v>910</v>
      </c>
      <c r="D106" s="72">
        <v>1.5</v>
      </c>
    </row>
    <row r="107" spans="1:4" s="73" customFormat="1" ht="15">
      <c r="A107" s="221" t="s">
        <v>929</v>
      </c>
      <c r="B107" s="222"/>
      <c r="C107" s="72" t="s">
        <v>910</v>
      </c>
      <c r="D107" s="72">
        <v>1.5</v>
      </c>
    </row>
    <row r="108" spans="1:4" ht="15.75" customHeight="1">
      <c r="A108" s="418" t="s">
        <v>102</v>
      </c>
      <c r="B108" s="419"/>
      <c r="C108" s="72"/>
      <c r="D108" s="72"/>
    </row>
    <row r="109" spans="1:5" ht="15.75" customHeight="1">
      <c r="A109" s="90" t="s">
        <v>801</v>
      </c>
      <c r="B109" s="180"/>
      <c r="C109" s="72" t="s">
        <v>243</v>
      </c>
      <c r="D109" s="72">
        <v>2.2</v>
      </c>
      <c r="E109">
        <v>2.2</v>
      </c>
    </row>
    <row r="110" spans="1:5" ht="15">
      <c r="A110" s="90" t="s">
        <v>802</v>
      </c>
      <c r="B110" s="180"/>
      <c r="C110" s="72" t="s">
        <v>243</v>
      </c>
      <c r="D110" s="72">
        <v>1.5</v>
      </c>
      <c r="E110">
        <v>1.5</v>
      </c>
    </row>
    <row r="111" spans="1:4" ht="15">
      <c r="A111" s="90" t="s">
        <v>868</v>
      </c>
      <c r="B111" s="180"/>
      <c r="C111" s="72" t="s">
        <v>243</v>
      </c>
      <c r="D111" s="72">
        <v>2</v>
      </c>
    </row>
    <row r="112" spans="1:4" ht="15">
      <c r="A112" s="90" t="s">
        <v>827</v>
      </c>
      <c r="B112" s="180"/>
      <c r="C112" s="72" t="s">
        <v>243</v>
      </c>
      <c r="D112" s="72">
        <v>2</v>
      </c>
    </row>
    <row r="113" spans="1:4" ht="28.5">
      <c r="A113" s="90" t="s">
        <v>828</v>
      </c>
      <c r="B113" s="180"/>
      <c r="C113" s="72" t="s">
        <v>243</v>
      </c>
      <c r="D113" s="72">
        <v>3</v>
      </c>
    </row>
    <row r="114" spans="1:4" ht="15">
      <c r="A114" s="90" t="s">
        <v>829</v>
      </c>
      <c r="B114" s="180"/>
      <c r="C114" s="72" t="s">
        <v>243</v>
      </c>
      <c r="D114" s="72">
        <v>2</v>
      </c>
    </row>
    <row r="115" spans="1:4" ht="15">
      <c r="A115" s="90" t="s">
        <v>830</v>
      </c>
      <c r="B115" s="180"/>
      <c r="C115" s="72" t="s">
        <v>243</v>
      </c>
      <c r="D115" s="72">
        <v>1</v>
      </c>
    </row>
    <row r="116" spans="1:4" ht="15">
      <c r="A116" s="175" t="s">
        <v>836</v>
      </c>
      <c r="B116" s="91"/>
      <c r="C116" s="199"/>
      <c r="D116" s="199">
        <v>3</v>
      </c>
    </row>
    <row r="117" spans="1:4" ht="15">
      <c r="A117" s="161" t="s">
        <v>838</v>
      </c>
      <c r="B117" s="91"/>
      <c r="C117" s="199"/>
      <c r="D117" s="199">
        <v>1.5</v>
      </c>
    </row>
    <row r="118" spans="1:4" s="73" customFormat="1" ht="15">
      <c r="A118" s="90" t="s">
        <v>858</v>
      </c>
      <c r="B118" s="91"/>
      <c r="C118" s="72" t="s">
        <v>243</v>
      </c>
      <c r="D118" s="72">
        <v>5</v>
      </c>
    </row>
    <row r="119" spans="1:4" s="73" customFormat="1" ht="15">
      <c r="A119" s="90" t="s">
        <v>865</v>
      </c>
      <c r="B119" s="91"/>
      <c r="C119" s="72" t="s">
        <v>243</v>
      </c>
      <c r="D119" s="72">
        <v>1</v>
      </c>
    </row>
    <row r="120" spans="1:4" ht="15">
      <c r="A120" s="181" t="s">
        <v>859</v>
      </c>
      <c r="C120" s="181" t="s">
        <v>243</v>
      </c>
      <c r="D120" s="181">
        <v>1</v>
      </c>
    </row>
    <row r="121" spans="1:4" s="73" customFormat="1" ht="15">
      <c r="A121" s="90" t="s">
        <v>606</v>
      </c>
      <c r="B121" s="91"/>
      <c r="C121" s="72" t="s">
        <v>243</v>
      </c>
      <c r="D121" s="72">
        <v>1.5</v>
      </c>
    </row>
    <row r="122" spans="1:4" s="73" customFormat="1" ht="15">
      <c r="A122" s="90" t="s">
        <v>894</v>
      </c>
      <c r="B122" s="91"/>
      <c r="C122" s="72" t="s">
        <v>243</v>
      </c>
      <c r="D122" s="72">
        <v>1.5</v>
      </c>
    </row>
    <row r="123" spans="1:4" ht="16.5" customHeight="1">
      <c r="A123" s="90" t="s">
        <v>878</v>
      </c>
      <c r="B123" s="180"/>
      <c r="C123" s="72"/>
      <c r="D123" s="72">
        <f>SUM(D15:D122)</f>
        <v>295.95</v>
      </c>
    </row>
    <row r="124" spans="1:4" ht="16.5" customHeight="1">
      <c r="A124" s="205" t="s">
        <v>883</v>
      </c>
      <c r="B124" s="180"/>
      <c r="C124" s="206"/>
      <c r="D124" s="206">
        <f>D123*130*1.342</f>
        <v>51631.437000000005</v>
      </c>
    </row>
    <row r="125" spans="1:6" ht="16.5" customHeight="1">
      <c r="A125" s="205" t="s">
        <v>884</v>
      </c>
      <c r="B125" s="180"/>
      <c r="C125" s="206"/>
      <c r="D125" s="206">
        <f>106*50</f>
        <v>5300</v>
      </c>
      <c r="E125" t="s">
        <v>932</v>
      </c>
      <c r="F125" t="s">
        <v>912</v>
      </c>
    </row>
    <row r="126" spans="1:5" ht="16.5" customHeight="1">
      <c r="A126" s="205" t="s">
        <v>803</v>
      </c>
      <c r="B126" s="180"/>
      <c r="C126" s="206"/>
      <c r="D126" s="206">
        <f>11543.78+212.6</f>
        <v>11756.380000000001</v>
      </c>
      <c r="E126">
        <f>SUM(E15:E110)</f>
        <v>56.7</v>
      </c>
    </row>
    <row r="127" spans="1:4" ht="16.5" customHeight="1">
      <c r="A127" s="205" t="s">
        <v>877</v>
      </c>
      <c r="B127" s="180"/>
      <c r="C127" s="206"/>
      <c r="D127" s="206">
        <f>0.79*1236.4*14</f>
        <v>13674.584</v>
      </c>
    </row>
    <row r="128" spans="1:5" ht="15.75" thickBot="1">
      <c r="A128" s="420" t="s">
        <v>410</v>
      </c>
      <c r="B128" s="421"/>
      <c r="C128" s="72"/>
      <c r="D128" s="206">
        <f>4.52*1236.4*14</f>
        <v>78239.392</v>
      </c>
      <c r="E128">
        <f>4.52*1236.4</f>
        <v>5588.528</v>
      </c>
    </row>
    <row r="129" spans="1:4" ht="15.75" customHeight="1">
      <c r="A129" s="426" t="s">
        <v>880</v>
      </c>
      <c r="B129" s="427"/>
      <c r="C129" s="207"/>
      <c r="D129" s="207">
        <f>D128+D127+D126+D124+D13+D12+D11+D8+D125+D10</f>
        <v>427041.94100000005</v>
      </c>
    </row>
    <row r="130" spans="1:5" s="73" customFormat="1" ht="15">
      <c r="A130" s="195" t="s">
        <v>913</v>
      </c>
      <c r="B130" s="208"/>
      <c r="C130" s="206"/>
      <c r="D130" s="206">
        <f>27.74*14*1236.4</f>
        <v>480168.304</v>
      </c>
      <c r="E130"/>
    </row>
    <row r="131" spans="1:4" ht="15">
      <c r="A131" s="195" t="s">
        <v>879</v>
      </c>
      <c r="B131" s="208"/>
      <c r="C131" s="206"/>
      <c r="D131" s="206">
        <f>D130-D133</f>
        <v>412744.294</v>
      </c>
    </row>
    <row r="132" spans="1:4" s="73" customFormat="1" ht="15">
      <c r="A132" s="209" t="s">
        <v>881</v>
      </c>
      <c r="B132" s="209"/>
      <c r="C132" s="206"/>
      <c r="D132" s="206">
        <f>D131-D129</f>
        <v>-14297.647000000055</v>
      </c>
    </row>
    <row r="133" spans="1:5" s="73" customFormat="1" ht="15">
      <c r="A133" s="209" t="s">
        <v>914</v>
      </c>
      <c r="B133" s="209"/>
      <c r="C133" s="206"/>
      <c r="D133" s="206">
        <v>67424.01</v>
      </c>
      <c r="E133" s="73">
        <v>67424.01</v>
      </c>
    </row>
    <row r="134" spans="1:4" ht="15">
      <c r="A134" s="204"/>
      <c r="B134" s="204"/>
      <c r="C134" s="75"/>
      <c r="D134" s="75"/>
    </row>
    <row r="135" spans="1:4" ht="15">
      <c r="A135" s="423" t="s">
        <v>882</v>
      </c>
      <c r="B135" s="423"/>
      <c r="C135" s="423"/>
      <c r="D135" s="423"/>
    </row>
    <row r="136" spans="1:4" ht="15.75">
      <c r="A136" s="394"/>
      <c r="B136" s="394"/>
      <c r="C136" s="394"/>
      <c r="D136" s="394"/>
    </row>
    <row r="137" spans="1:4" ht="15">
      <c r="A137" s="76"/>
      <c r="B137" s="76"/>
      <c r="C137" s="76"/>
      <c r="D137" s="76"/>
    </row>
    <row r="138" spans="1:4" ht="15.75">
      <c r="A138" s="394"/>
      <c r="B138" s="394"/>
      <c r="C138" s="394"/>
      <c r="D138" s="394"/>
    </row>
    <row r="139" spans="1:4" ht="15">
      <c r="A139" s="76"/>
      <c r="B139" s="76"/>
      <c r="C139" s="76"/>
      <c r="D139" s="76"/>
    </row>
  </sheetData>
  <sheetProtection/>
  <mergeCells count="48">
    <mergeCell ref="A135:D135"/>
    <mergeCell ref="A76:B76"/>
    <mergeCell ref="A77:B77"/>
    <mergeCell ref="A78:B78"/>
    <mergeCell ref="A79:B79"/>
    <mergeCell ref="A80:B80"/>
    <mergeCell ref="A81:B81"/>
    <mergeCell ref="A129:B129"/>
    <mergeCell ref="A90:B90"/>
    <mergeCell ref="A91:B91"/>
    <mergeCell ref="A93:B93"/>
    <mergeCell ref="A94:B94"/>
    <mergeCell ref="A97:B97"/>
    <mergeCell ref="A98:B98"/>
    <mergeCell ref="A99:B99"/>
    <mergeCell ref="A103:B103"/>
    <mergeCell ref="A7:B7"/>
    <mergeCell ref="A136:D136"/>
    <mergeCell ref="A138:D138"/>
    <mergeCell ref="A12:B12"/>
    <mergeCell ref="A108:B108"/>
    <mergeCell ref="A22:B22"/>
    <mergeCell ref="A69:B69"/>
    <mergeCell ref="A71:B71"/>
    <mergeCell ref="A128:B128"/>
    <mergeCell ref="A72:B72"/>
    <mergeCell ref="A73:B73"/>
    <mergeCell ref="A74:B74"/>
    <mergeCell ref="A75:B75"/>
    <mergeCell ref="A26:B26"/>
    <mergeCell ref="A19:B19"/>
    <mergeCell ref="A21:B21"/>
    <mergeCell ref="A1:D1"/>
    <mergeCell ref="A2:D2"/>
    <mergeCell ref="A3:D3"/>
    <mergeCell ref="A5:B5"/>
    <mergeCell ref="A6:B6"/>
    <mergeCell ref="A25:B25"/>
    <mergeCell ref="A86:B86"/>
    <mergeCell ref="A87:B87"/>
    <mergeCell ref="A88:B88"/>
    <mergeCell ref="A8:B8"/>
    <mergeCell ref="A9:B9"/>
    <mergeCell ref="A14:B14"/>
    <mergeCell ref="A23:B23"/>
    <mergeCell ref="A82:B82"/>
    <mergeCell ref="A84:B84"/>
    <mergeCell ref="A85:B85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69"/>
  <sheetViews>
    <sheetView zoomScalePageLayoutView="0" workbookViewId="0" topLeftCell="A43">
      <selection activeCell="A62" sqref="A62:IV62"/>
    </sheetView>
  </sheetViews>
  <sheetFormatPr defaultColWidth="9.140625" defaultRowHeight="15"/>
  <cols>
    <col min="1" max="1" width="80.8515625" style="0" customWidth="1"/>
    <col min="2" max="2" width="3.28125" style="0" hidden="1" customWidth="1"/>
    <col min="3" max="3" width="22.140625" style="0" customWidth="1"/>
  </cols>
  <sheetData>
    <row r="1" spans="1:4" ht="15.75">
      <c r="A1" s="381" t="s">
        <v>959</v>
      </c>
      <c r="B1" s="381"/>
      <c r="C1" s="381"/>
      <c r="D1" s="381"/>
    </row>
    <row r="2" spans="1:4" ht="15.75">
      <c r="A2" s="382" t="s">
        <v>242</v>
      </c>
      <c r="B2" s="382"/>
      <c r="C2" s="382"/>
      <c r="D2" s="382"/>
    </row>
    <row r="3" spans="1:4" s="55" customFormat="1" ht="15.75">
      <c r="A3" s="382" t="s">
        <v>1622</v>
      </c>
      <c r="B3" s="382"/>
      <c r="C3" s="382"/>
      <c r="D3" s="382"/>
    </row>
    <row r="4" spans="1:4" s="55" customFormat="1" ht="15.75">
      <c r="A4" s="112"/>
      <c r="B4" s="112"/>
      <c r="C4" s="89"/>
      <c r="D4" s="89"/>
    </row>
    <row r="5" spans="1:4" ht="30">
      <c r="A5" s="383" t="s">
        <v>229</v>
      </c>
      <c r="B5" s="384"/>
      <c r="C5" s="86" t="s">
        <v>231</v>
      </c>
      <c r="D5" s="85" t="s">
        <v>530</v>
      </c>
    </row>
    <row r="6" spans="1:4" ht="15">
      <c r="A6" s="383" t="s">
        <v>229</v>
      </c>
      <c r="B6" s="384"/>
      <c r="C6" s="73"/>
      <c r="D6" s="73"/>
    </row>
    <row r="7" spans="1:4" ht="15.75" thickBot="1">
      <c r="A7" s="379" t="s">
        <v>0</v>
      </c>
      <c r="B7" s="380"/>
      <c r="C7" s="76"/>
      <c r="D7" s="76"/>
    </row>
    <row r="8" spans="1:4" ht="15">
      <c r="A8" s="435" t="s">
        <v>24</v>
      </c>
      <c r="B8" s="436"/>
      <c r="C8" s="77"/>
      <c r="D8" s="77"/>
    </row>
    <row r="9" spans="1:4" ht="15">
      <c r="A9" s="435" t="s">
        <v>236</v>
      </c>
      <c r="B9" s="436"/>
      <c r="C9" s="77"/>
      <c r="D9" s="77"/>
    </row>
    <row r="10" spans="1:4" ht="15.75" thickBot="1">
      <c r="A10" s="451" t="s">
        <v>28</v>
      </c>
      <c r="B10" s="445"/>
      <c r="C10" s="77"/>
      <c r="D10" s="77"/>
    </row>
    <row r="11" spans="1:4" ht="15.75" thickBot="1">
      <c r="A11" s="375" t="s">
        <v>29</v>
      </c>
      <c r="B11" s="376"/>
      <c r="C11" s="77"/>
      <c r="D11" s="77"/>
    </row>
    <row r="12" spans="1:4" ht="15">
      <c r="A12" s="433" t="s">
        <v>45</v>
      </c>
      <c r="B12" s="434"/>
      <c r="C12" s="77"/>
      <c r="D12" s="77"/>
    </row>
    <row r="13" spans="1:4" ht="15.75" thickBot="1">
      <c r="A13" s="449" t="s">
        <v>55</v>
      </c>
      <c r="B13" s="450"/>
      <c r="C13" s="77"/>
      <c r="D13" s="77"/>
    </row>
    <row r="14" spans="1:4" ht="15.75" thickBot="1">
      <c r="A14" s="377" t="s">
        <v>56</v>
      </c>
      <c r="B14" s="378"/>
      <c r="C14" s="77"/>
      <c r="D14" s="77"/>
    </row>
    <row r="15" spans="1:4" ht="15.75" thickBot="1">
      <c r="A15" s="375" t="s">
        <v>57</v>
      </c>
      <c r="B15" s="376"/>
      <c r="C15" s="77"/>
      <c r="D15" s="77"/>
    </row>
    <row r="16" spans="1:4" s="73" customFormat="1" ht="15.75" thickBot="1">
      <c r="A16" s="296" t="s">
        <v>1623</v>
      </c>
      <c r="B16" s="288"/>
      <c r="C16" s="72" t="s">
        <v>370</v>
      </c>
      <c r="D16" s="72">
        <f>1*130+175</f>
        <v>305</v>
      </c>
    </row>
    <row r="17" spans="1:4" ht="15">
      <c r="A17" s="399" t="s">
        <v>1649</v>
      </c>
      <c r="B17" s="400"/>
      <c r="C17" s="181" t="s">
        <v>642</v>
      </c>
      <c r="D17" s="199">
        <f>8+8+8+8</f>
        <v>32</v>
      </c>
    </row>
    <row r="18" spans="1:4" ht="30">
      <c r="A18" s="399" t="s">
        <v>1625</v>
      </c>
      <c r="B18" s="400"/>
      <c r="C18" s="105" t="s">
        <v>850</v>
      </c>
      <c r="D18" s="72">
        <v>1</v>
      </c>
    </row>
    <row r="19" spans="1:4" s="73" customFormat="1" ht="15">
      <c r="A19" s="399" t="s">
        <v>451</v>
      </c>
      <c r="B19" s="400"/>
      <c r="C19" s="72" t="s">
        <v>433</v>
      </c>
      <c r="D19" s="72">
        <v>4</v>
      </c>
    </row>
    <row r="20" spans="1:4" s="73" customFormat="1" ht="15">
      <c r="A20" s="400" t="s">
        <v>1607</v>
      </c>
      <c r="B20" s="448"/>
      <c r="C20" s="72" t="s">
        <v>1608</v>
      </c>
      <c r="D20" s="72">
        <v>6</v>
      </c>
    </row>
    <row r="21" spans="1:4" ht="15.75" customHeight="1" thickBot="1">
      <c r="A21" s="445" t="s">
        <v>63</v>
      </c>
      <c r="B21" s="446"/>
      <c r="C21" s="77"/>
      <c r="D21" s="77"/>
    </row>
    <row r="22" spans="1:4" ht="15.75" thickBot="1">
      <c r="A22" s="387" t="s">
        <v>64</v>
      </c>
      <c r="B22" s="377"/>
      <c r="C22" s="77"/>
      <c r="D22" s="77"/>
    </row>
    <row r="23" spans="1:4" ht="15">
      <c r="A23" s="388" t="s">
        <v>66</v>
      </c>
      <c r="B23" s="389"/>
      <c r="C23" s="77"/>
      <c r="D23" s="77"/>
    </row>
    <row r="24" spans="1:4" ht="15">
      <c r="A24" s="60" t="s">
        <v>68</v>
      </c>
      <c r="B24" s="61"/>
      <c r="C24" s="77"/>
      <c r="D24" s="77"/>
    </row>
    <row r="25" spans="1:4" ht="15">
      <c r="A25" s="302" t="s">
        <v>1638</v>
      </c>
      <c r="B25" s="269"/>
      <c r="C25" s="72" t="s">
        <v>823</v>
      </c>
      <c r="D25" s="72">
        <f>4*130*2+175</f>
        <v>1215</v>
      </c>
    </row>
    <row r="26" spans="1:4" ht="30">
      <c r="A26" s="181" t="s">
        <v>1639</v>
      </c>
      <c r="C26" s="219" t="s">
        <v>1640</v>
      </c>
      <c r="D26" s="181">
        <f>4*130+175+7.5*130+2.5*130</f>
        <v>1995</v>
      </c>
    </row>
    <row r="27" spans="1:4" ht="30">
      <c r="A27" s="181" t="s">
        <v>1641</v>
      </c>
      <c r="C27" s="219" t="s">
        <v>1640</v>
      </c>
      <c r="D27" s="181">
        <f>4*130*3+175</f>
        <v>1735</v>
      </c>
    </row>
    <row r="28" spans="1:4" ht="15">
      <c r="A28" s="181" t="s">
        <v>1642</v>
      </c>
      <c r="C28" s="181" t="s">
        <v>347</v>
      </c>
      <c r="D28" s="181">
        <f>175+130*2*2</f>
        <v>695</v>
      </c>
    </row>
    <row r="29" spans="1:4" ht="15" customHeight="1">
      <c r="A29" s="87" t="s">
        <v>1650</v>
      </c>
      <c r="B29" s="140"/>
      <c r="C29" s="181" t="s">
        <v>369</v>
      </c>
      <c r="D29" s="199">
        <f>0.5+0.5</f>
        <v>1</v>
      </c>
    </row>
    <row r="30" spans="1:4" ht="15" customHeight="1">
      <c r="A30" s="87" t="s">
        <v>327</v>
      </c>
      <c r="B30" s="140"/>
      <c r="C30" s="181" t="s">
        <v>309</v>
      </c>
      <c r="D30" s="199">
        <v>1</v>
      </c>
    </row>
    <row r="31" spans="1:4" s="73" customFormat="1" ht="15" customHeight="1">
      <c r="A31" s="87" t="s">
        <v>1653</v>
      </c>
      <c r="B31" s="88"/>
      <c r="C31" s="72" t="s">
        <v>1654</v>
      </c>
      <c r="D31" s="72">
        <v>2</v>
      </c>
    </row>
    <row r="32" spans="1:4" s="73" customFormat="1" ht="37.5" customHeight="1">
      <c r="A32" s="108" t="s">
        <v>472</v>
      </c>
      <c r="B32" s="88"/>
      <c r="C32" s="105" t="s">
        <v>471</v>
      </c>
      <c r="D32" s="72">
        <v>2</v>
      </c>
    </row>
    <row r="33" spans="1:4" s="73" customFormat="1" ht="15">
      <c r="A33" s="92" t="s">
        <v>554</v>
      </c>
      <c r="B33" s="93"/>
      <c r="C33" s="72" t="s">
        <v>400</v>
      </c>
      <c r="D33" s="72">
        <f>1.5</f>
        <v>1.5</v>
      </c>
    </row>
    <row r="34" spans="1:4" s="73" customFormat="1" ht="16.5" customHeight="1">
      <c r="A34" s="287" t="s">
        <v>1304</v>
      </c>
      <c r="B34" s="287"/>
      <c r="C34" s="105" t="s">
        <v>1162</v>
      </c>
      <c r="D34" s="72">
        <v>1</v>
      </c>
    </row>
    <row r="35" spans="1:4" ht="15" customHeight="1">
      <c r="A35" s="64" t="s">
        <v>82</v>
      </c>
      <c r="B35" s="65"/>
      <c r="C35" s="77"/>
      <c r="D35" s="77"/>
    </row>
    <row r="36" spans="1:4" ht="15">
      <c r="A36" s="64" t="s">
        <v>84</v>
      </c>
      <c r="B36" s="65"/>
      <c r="C36" s="77"/>
      <c r="D36" s="77"/>
    </row>
    <row r="37" spans="1:4" ht="15" customHeight="1">
      <c r="A37" s="64" t="s">
        <v>86</v>
      </c>
      <c r="B37" s="65"/>
      <c r="C37" s="77"/>
      <c r="D37" s="77"/>
    </row>
    <row r="38" spans="1:4" ht="15" customHeight="1">
      <c r="A38" s="68" t="s">
        <v>88</v>
      </c>
      <c r="B38" s="69"/>
      <c r="C38" s="77"/>
      <c r="D38" s="77"/>
    </row>
    <row r="39" spans="1:4" ht="15.75" thickBot="1">
      <c r="A39" s="390" t="s">
        <v>90</v>
      </c>
      <c r="B39" s="391"/>
      <c r="C39" s="77"/>
      <c r="D39" s="77"/>
    </row>
    <row r="40" spans="1:4" s="73" customFormat="1" ht="29.25" customHeight="1" thickBot="1">
      <c r="A40" s="405" t="s">
        <v>1636</v>
      </c>
      <c r="B40" s="406"/>
      <c r="C40" s="72"/>
      <c r="D40" s="72">
        <v>417.37</v>
      </c>
    </row>
    <row r="41" spans="1:4" ht="15">
      <c r="A41" s="182" t="s">
        <v>1643</v>
      </c>
      <c r="B41" s="93"/>
      <c r="C41" s="72" t="s">
        <v>360</v>
      </c>
      <c r="D41" s="72">
        <f>3.5*130</f>
        <v>455</v>
      </c>
    </row>
    <row r="42" spans="1:4" ht="30">
      <c r="A42" s="186" t="s">
        <v>1644</v>
      </c>
      <c r="B42" s="91"/>
      <c r="C42" s="105" t="s">
        <v>1645</v>
      </c>
      <c r="D42" s="72">
        <f>350+4*130</f>
        <v>870</v>
      </c>
    </row>
    <row r="43" spans="1:4" ht="15">
      <c r="A43" s="297" t="s">
        <v>1646</v>
      </c>
      <c r="B43" s="91"/>
      <c r="C43" s="105" t="s">
        <v>817</v>
      </c>
      <c r="D43" s="72">
        <f>100+130*0.5*2</f>
        <v>230</v>
      </c>
    </row>
    <row r="44" spans="1:4" s="73" customFormat="1" ht="29.25" customHeight="1">
      <c r="A44" s="401" t="s">
        <v>483</v>
      </c>
      <c r="B44" s="402"/>
      <c r="C44" s="105" t="s">
        <v>484</v>
      </c>
      <c r="D44" s="72">
        <v>1.5</v>
      </c>
    </row>
    <row r="45" spans="1:4" s="73" customFormat="1" ht="20.25" customHeight="1">
      <c r="A45" s="287" t="s">
        <v>1298</v>
      </c>
      <c r="B45" s="289"/>
      <c r="C45" s="72" t="s">
        <v>1299</v>
      </c>
      <c r="D45" s="72">
        <v>2</v>
      </c>
    </row>
    <row r="46" spans="1:4" s="73" customFormat="1" ht="33" customHeight="1">
      <c r="A46" s="292" t="s">
        <v>905</v>
      </c>
      <c r="B46" s="293"/>
      <c r="C46" s="105" t="s">
        <v>906</v>
      </c>
      <c r="D46" s="72">
        <v>1.2</v>
      </c>
    </row>
    <row r="47" spans="1:4" s="73" customFormat="1" ht="15">
      <c r="A47" s="402" t="s">
        <v>909</v>
      </c>
      <c r="B47" s="413"/>
      <c r="C47" s="72" t="s">
        <v>910</v>
      </c>
      <c r="D47" s="72">
        <v>1.5</v>
      </c>
    </row>
    <row r="48" spans="1:4" s="73" customFormat="1" ht="20.25" customHeight="1">
      <c r="A48" s="287" t="s">
        <v>1656</v>
      </c>
      <c r="B48" s="289"/>
      <c r="C48" s="72" t="s">
        <v>1608</v>
      </c>
      <c r="D48" s="72">
        <v>6</v>
      </c>
    </row>
    <row r="49" spans="1:4" s="73" customFormat="1" ht="29.25" customHeight="1">
      <c r="A49" s="287" t="s">
        <v>1307</v>
      </c>
      <c r="B49" s="289"/>
      <c r="C49" s="105" t="s">
        <v>1308</v>
      </c>
      <c r="D49" s="72">
        <v>1.8</v>
      </c>
    </row>
    <row r="50" spans="1:4" s="73" customFormat="1" ht="18" customHeight="1" thickBot="1">
      <c r="A50" s="287" t="s">
        <v>1089</v>
      </c>
      <c r="B50" s="289"/>
      <c r="C50" s="72" t="s">
        <v>1090</v>
      </c>
      <c r="D50" s="72">
        <v>1.5</v>
      </c>
    </row>
    <row r="51" spans="1:4" ht="15.75" thickBot="1">
      <c r="A51" s="377" t="s">
        <v>99</v>
      </c>
      <c r="B51" s="378"/>
      <c r="C51" s="77"/>
      <c r="D51" s="77"/>
    </row>
    <row r="52" spans="1:4" ht="30.75" customHeight="1" thickBot="1">
      <c r="A52" s="501" t="s">
        <v>307</v>
      </c>
      <c r="B52" s="502"/>
      <c r="C52" s="78" t="s">
        <v>417</v>
      </c>
      <c r="D52" s="80" t="s">
        <v>419</v>
      </c>
    </row>
    <row r="53" spans="1:4" ht="15.75" thickBot="1">
      <c r="A53" s="377" t="s">
        <v>101</v>
      </c>
      <c r="B53" s="378"/>
      <c r="C53" s="77"/>
      <c r="D53" s="77"/>
    </row>
    <row r="54" spans="1:4" ht="15.75" thickBot="1">
      <c r="A54" s="443" t="s">
        <v>102</v>
      </c>
      <c r="B54" s="375"/>
      <c r="C54" s="77" t="s">
        <v>243</v>
      </c>
      <c r="D54" s="77"/>
    </row>
    <row r="55" spans="1:4" ht="15">
      <c r="A55" s="525" t="s">
        <v>1637</v>
      </c>
      <c r="B55" s="526"/>
      <c r="C55" s="72"/>
      <c r="D55" s="72">
        <f>144.58+175+260</f>
        <v>579.58</v>
      </c>
    </row>
    <row r="56" spans="1:4" ht="15">
      <c r="A56" s="297" t="s">
        <v>1647</v>
      </c>
      <c r="B56" s="295"/>
      <c r="C56" s="72" t="s">
        <v>243</v>
      </c>
      <c r="D56" s="109">
        <f>350+130*1.1</f>
        <v>493</v>
      </c>
    </row>
    <row r="57" spans="1:4" ht="15">
      <c r="A57" s="297" t="s">
        <v>1648</v>
      </c>
      <c r="B57" s="295"/>
      <c r="C57" s="72" t="s">
        <v>243</v>
      </c>
      <c r="D57" s="109">
        <f>350+130</f>
        <v>480</v>
      </c>
    </row>
    <row r="58" spans="1:4" ht="15">
      <c r="A58" s="297" t="s">
        <v>1651</v>
      </c>
      <c r="B58" s="135"/>
      <c r="C58" s="199"/>
      <c r="D58" s="199">
        <v>2</v>
      </c>
    </row>
    <row r="59" spans="1:4" ht="15">
      <c r="A59" s="297" t="s">
        <v>276</v>
      </c>
      <c r="B59" s="135"/>
      <c r="C59" s="199"/>
      <c r="D59" s="199">
        <v>2.5</v>
      </c>
    </row>
    <row r="60" spans="1:4" s="73" customFormat="1" ht="15">
      <c r="A60" s="297" t="s">
        <v>1652</v>
      </c>
      <c r="B60" s="91"/>
      <c r="C60" s="72" t="s">
        <v>243</v>
      </c>
      <c r="D60" s="72">
        <v>2</v>
      </c>
    </row>
    <row r="61" spans="1:4" s="73" customFormat="1" ht="15">
      <c r="A61" s="297" t="s">
        <v>1655</v>
      </c>
      <c r="B61" s="91"/>
      <c r="C61" s="72" t="s">
        <v>243</v>
      </c>
      <c r="D61" s="72">
        <v>2</v>
      </c>
    </row>
    <row r="62" spans="1:4" s="73" customFormat="1" ht="18.75" customHeight="1">
      <c r="A62" s="297" t="s">
        <v>1657</v>
      </c>
      <c r="B62" s="91"/>
      <c r="C62" s="72" t="s">
        <v>243</v>
      </c>
      <c r="D62" s="72">
        <v>1</v>
      </c>
    </row>
    <row r="63" spans="1:4" ht="15.75" thickBot="1">
      <c r="A63" s="395" t="s">
        <v>103</v>
      </c>
      <c r="B63" s="396"/>
      <c r="C63" s="77"/>
      <c r="D63" s="77"/>
    </row>
    <row r="64" spans="1:4" ht="15.75" thickBot="1">
      <c r="A64" s="397" t="s">
        <v>104</v>
      </c>
      <c r="B64" s="398"/>
      <c r="C64" s="77"/>
      <c r="D64" s="77"/>
    </row>
    <row r="65" spans="1:4" ht="15">
      <c r="A65" s="79"/>
      <c r="B65" s="79"/>
      <c r="C65" s="76"/>
      <c r="D65" s="76"/>
    </row>
    <row r="66" spans="1:4" ht="15.75">
      <c r="A66" s="394" t="s">
        <v>233</v>
      </c>
      <c r="B66" s="394"/>
      <c r="C66" s="394"/>
      <c r="D66" s="394"/>
    </row>
    <row r="67" spans="1:4" ht="15">
      <c r="A67" s="76"/>
      <c r="B67" s="76"/>
      <c r="C67" s="76"/>
      <c r="D67" s="76"/>
    </row>
    <row r="68" spans="1:4" ht="15.75">
      <c r="A68" s="394" t="s">
        <v>234</v>
      </c>
      <c r="B68" s="394"/>
      <c r="C68" s="394"/>
      <c r="D68" s="394"/>
    </row>
    <row r="69" spans="1:4" ht="15">
      <c r="A69" s="76"/>
      <c r="B69" s="76"/>
      <c r="C69" s="76"/>
      <c r="D69" s="76"/>
    </row>
  </sheetData>
  <sheetProtection/>
  <mergeCells count="34">
    <mergeCell ref="A68:D68"/>
    <mergeCell ref="A51:B51"/>
    <mergeCell ref="A52:B52"/>
    <mergeCell ref="A53:B53"/>
    <mergeCell ref="A54:B54"/>
    <mergeCell ref="A63:B63"/>
    <mergeCell ref="A64:B64"/>
    <mergeCell ref="A55:B55"/>
    <mergeCell ref="A22:B22"/>
    <mergeCell ref="A23:B23"/>
    <mergeCell ref="A39:B39"/>
    <mergeCell ref="A40:B40"/>
    <mergeCell ref="A66:D66"/>
    <mergeCell ref="A47:B47"/>
    <mergeCell ref="A44:B44"/>
    <mergeCell ref="A17:B17"/>
    <mergeCell ref="A18:B18"/>
    <mergeCell ref="A19:B19"/>
    <mergeCell ref="A20:B20"/>
    <mergeCell ref="A21:B21"/>
    <mergeCell ref="A14:B14"/>
    <mergeCell ref="A15:B15"/>
    <mergeCell ref="A13:B13"/>
    <mergeCell ref="A1:D1"/>
    <mergeCell ref="A2:D2"/>
    <mergeCell ref="A3:D3"/>
    <mergeCell ref="A5:B5"/>
    <mergeCell ref="A6:B6"/>
    <mergeCell ref="A7:B7"/>
    <mergeCell ref="A8:B8"/>
    <mergeCell ref="A9:B9"/>
    <mergeCell ref="A10:B10"/>
    <mergeCell ref="A11:B11"/>
    <mergeCell ref="A12:B12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D60"/>
  <sheetViews>
    <sheetView zoomScalePageLayoutView="0" workbookViewId="0" topLeftCell="A40">
      <selection activeCell="H51" sqref="H51"/>
    </sheetView>
  </sheetViews>
  <sheetFormatPr defaultColWidth="9.140625" defaultRowHeight="15"/>
  <cols>
    <col min="1" max="1" width="80.8515625" style="0" customWidth="1"/>
    <col min="2" max="2" width="3.28125" style="0" hidden="1" customWidth="1"/>
    <col min="3" max="3" width="23.7109375" style="0" customWidth="1"/>
  </cols>
  <sheetData>
    <row r="1" spans="1:4" ht="15.75">
      <c r="A1" s="531" t="s">
        <v>959</v>
      </c>
      <c r="B1" s="531"/>
      <c r="C1" s="531"/>
      <c r="D1" s="531"/>
    </row>
    <row r="2" spans="1:4" ht="15">
      <c r="A2" s="532" t="s">
        <v>282</v>
      </c>
      <c r="B2" s="532"/>
      <c r="C2" s="532"/>
      <c r="D2" s="532"/>
    </row>
    <row r="3" spans="1:4" s="55" customFormat="1" ht="15">
      <c r="A3" s="532" t="s">
        <v>1658</v>
      </c>
      <c r="B3" s="532"/>
      <c r="C3" s="532"/>
      <c r="D3" s="532"/>
    </row>
    <row r="4" spans="1:4" s="55" customFormat="1" ht="15">
      <c r="A4" s="305"/>
      <c r="B4" s="305"/>
      <c r="C4" s="89"/>
      <c r="D4" s="89"/>
    </row>
    <row r="5" spans="1:4" ht="30">
      <c r="A5" s="533" t="s">
        <v>229</v>
      </c>
      <c r="B5" s="534"/>
      <c r="C5" s="86" t="s">
        <v>231</v>
      </c>
      <c r="D5" s="85" t="s">
        <v>530</v>
      </c>
    </row>
    <row r="6" spans="1:4" ht="15">
      <c r="A6" s="527" t="s">
        <v>229</v>
      </c>
      <c r="B6" s="528"/>
      <c r="C6" s="76"/>
      <c r="D6" s="76"/>
    </row>
    <row r="7" spans="1:4" ht="15.75" thickBot="1">
      <c r="A7" s="379" t="s">
        <v>0</v>
      </c>
      <c r="B7" s="380"/>
      <c r="C7" s="76"/>
      <c r="D7" s="76"/>
    </row>
    <row r="8" spans="1:4" ht="15">
      <c r="A8" s="435" t="s">
        <v>24</v>
      </c>
      <c r="B8" s="436"/>
      <c r="C8" s="77"/>
      <c r="D8" s="77"/>
    </row>
    <row r="9" spans="1:4" ht="15">
      <c r="A9" s="435" t="s">
        <v>236</v>
      </c>
      <c r="B9" s="436"/>
      <c r="C9" s="77"/>
      <c r="D9" s="77"/>
    </row>
    <row r="10" spans="1:4" ht="15.75" thickBot="1">
      <c r="A10" s="451" t="s">
        <v>28</v>
      </c>
      <c r="B10" s="445"/>
      <c r="C10" s="77"/>
      <c r="D10" s="77"/>
    </row>
    <row r="11" spans="1:4" ht="15.75" thickBot="1">
      <c r="A11" s="375" t="s">
        <v>29</v>
      </c>
      <c r="B11" s="376"/>
      <c r="C11" s="77"/>
      <c r="D11" s="77"/>
    </row>
    <row r="12" spans="1:4" ht="15">
      <c r="A12" s="433" t="s">
        <v>45</v>
      </c>
      <c r="B12" s="434"/>
      <c r="C12" s="77"/>
      <c r="D12" s="77"/>
    </row>
    <row r="13" spans="1:4" ht="15.75" thickBot="1">
      <c r="A13" s="449" t="s">
        <v>55</v>
      </c>
      <c r="B13" s="450"/>
      <c r="C13" s="77"/>
      <c r="D13" s="77"/>
    </row>
    <row r="14" spans="1:4" ht="15.75" thickBot="1">
      <c r="A14" s="377" t="s">
        <v>56</v>
      </c>
      <c r="B14" s="378"/>
      <c r="C14" s="77"/>
      <c r="D14" s="77"/>
    </row>
    <row r="15" spans="1:4" ht="15.75" thickBot="1">
      <c r="A15" s="375" t="s">
        <v>57</v>
      </c>
      <c r="B15" s="376"/>
      <c r="C15" s="77"/>
      <c r="D15" s="77"/>
    </row>
    <row r="16" spans="1:4" ht="15">
      <c r="A16" s="72" t="s">
        <v>1662</v>
      </c>
      <c r="B16" s="72"/>
      <c r="C16" s="72" t="s">
        <v>1401</v>
      </c>
      <c r="D16" s="72">
        <v>12</v>
      </c>
    </row>
    <row r="17" spans="1:4" ht="15" customHeight="1">
      <c r="A17" s="435" t="s">
        <v>59</v>
      </c>
      <c r="B17" s="436"/>
      <c r="C17" s="77"/>
      <c r="D17" s="77"/>
    </row>
    <row r="18" spans="1:4" ht="15">
      <c r="A18" s="436" t="s">
        <v>60</v>
      </c>
      <c r="B18" s="447"/>
      <c r="C18" s="77"/>
      <c r="D18" s="77"/>
    </row>
    <row r="19" spans="1:4" ht="15">
      <c r="A19" s="436" t="s">
        <v>61</v>
      </c>
      <c r="B19" s="447"/>
      <c r="C19" s="77"/>
      <c r="D19" s="77"/>
    </row>
    <row r="20" spans="1:4" ht="15" customHeight="1">
      <c r="A20" s="436" t="s">
        <v>62</v>
      </c>
      <c r="B20" s="447"/>
      <c r="C20" s="77"/>
      <c r="D20" s="77"/>
    </row>
    <row r="21" spans="1:4" ht="15.75" customHeight="1" thickBot="1">
      <c r="A21" s="445" t="s">
        <v>63</v>
      </c>
      <c r="B21" s="446"/>
      <c r="C21" s="77"/>
      <c r="D21" s="77"/>
    </row>
    <row r="22" spans="1:4" ht="15.75" thickBot="1">
      <c r="A22" s="387" t="s">
        <v>64</v>
      </c>
      <c r="B22" s="377"/>
      <c r="C22" s="77"/>
      <c r="D22" s="77"/>
    </row>
    <row r="23" spans="1:4" ht="15">
      <c r="A23" s="388" t="s">
        <v>66</v>
      </c>
      <c r="B23" s="389"/>
      <c r="C23" s="77"/>
      <c r="D23" s="77"/>
    </row>
    <row r="24" spans="1:4" ht="15">
      <c r="A24" s="60" t="s">
        <v>68</v>
      </c>
      <c r="B24" s="61"/>
      <c r="C24" s="77"/>
      <c r="D24" s="77"/>
    </row>
    <row r="25" spans="1:4" ht="15">
      <c r="A25" s="202" t="s">
        <v>284</v>
      </c>
      <c r="B25" s="144"/>
      <c r="C25" s="181" t="s">
        <v>279</v>
      </c>
      <c r="D25" s="199">
        <v>1</v>
      </c>
    </row>
    <row r="26" spans="1:4" ht="30" customHeight="1">
      <c r="A26" s="108" t="s">
        <v>1660</v>
      </c>
      <c r="B26" s="88"/>
      <c r="C26" s="105" t="s">
        <v>990</v>
      </c>
      <c r="D26" s="72">
        <f>2+2+2+2</f>
        <v>8</v>
      </c>
    </row>
    <row r="27" spans="1:4" s="73" customFormat="1" ht="32.25" customHeight="1">
      <c r="A27" s="108" t="s">
        <v>438</v>
      </c>
      <c r="B27" s="88"/>
      <c r="C27" s="105" t="s">
        <v>437</v>
      </c>
      <c r="D27" s="72">
        <v>12</v>
      </c>
    </row>
    <row r="28" spans="1:4" s="73" customFormat="1" ht="15" customHeight="1">
      <c r="A28" s="87" t="s">
        <v>442</v>
      </c>
      <c r="B28" s="88"/>
      <c r="C28" s="72" t="s">
        <v>443</v>
      </c>
      <c r="D28" s="72">
        <v>2</v>
      </c>
    </row>
    <row r="29" spans="1:4" s="73" customFormat="1" ht="18" customHeight="1">
      <c r="A29" s="287" t="s">
        <v>1089</v>
      </c>
      <c r="B29" s="289"/>
      <c r="C29" s="72" t="s">
        <v>1090</v>
      </c>
      <c r="D29" s="72">
        <v>1.5</v>
      </c>
    </row>
    <row r="30" spans="1:4" s="73" customFormat="1" ht="16.5" customHeight="1">
      <c r="A30" s="287" t="s">
        <v>1304</v>
      </c>
      <c r="B30" s="287"/>
      <c r="C30" s="105" t="s">
        <v>1162</v>
      </c>
      <c r="D30" s="72">
        <v>1</v>
      </c>
    </row>
    <row r="31" spans="1:4" ht="15" customHeight="1">
      <c r="A31" s="66" t="s">
        <v>80</v>
      </c>
      <c r="B31" s="67"/>
      <c r="C31" s="77"/>
      <c r="D31" s="77"/>
    </row>
    <row r="32" spans="1:4" ht="15" customHeight="1">
      <c r="A32" s="64" t="s">
        <v>82</v>
      </c>
      <c r="B32" s="65"/>
      <c r="C32" s="77"/>
      <c r="D32" s="77"/>
    </row>
    <row r="33" spans="1:4" ht="15">
      <c r="A33" s="64" t="s">
        <v>284</v>
      </c>
      <c r="B33" s="65"/>
      <c r="C33" s="77" t="s">
        <v>279</v>
      </c>
      <c r="D33" s="77">
        <v>1</v>
      </c>
    </row>
    <row r="34" spans="1:4" ht="15" customHeight="1">
      <c r="A34" s="64" t="s">
        <v>86</v>
      </c>
      <c r="B34" s="65"/>
      <c r="C34" s="77"/>
      <c r="D34" s="77"/>
    </row>
    <row r="35" spans="1:4" ht="15" customHeight="1">
      <c r="A35" s="68" t="s">
        <v>283</v>
      </c>
      <c r="B35" s="69"/>
      <c r="C35" s="77" t="s">
        <v>279</v>
      </c>
      <c r="D35" s="77">
        <v>1</v>
      </c>
    </row>
    <row r="36" spans="1:4" ht="15">
      <c r="A36" s="390" t="s">
        <v>90</v>
      </c>
      <c r="B36" s="391"/>
      <c r="C36" s="77"/>
      <c r="D36" s="77"/>
    </row>
    <row r="37" spans="1:4" ht="15" customHeight="1">
      <c r="A37" s="270" t="s">
        <v>283</v>
      </c>
      <c r="B37" s="148"/>
      <c r="C37" s="181" t="s">
        <v>279</v>
      </c>
      <c r="D37" s="199">
        <v>1</v>
      </c>
    </row>
    <row r="38" spans="1:4" ht="15" customHeight="1">
      <c r="A38" s="401" t="s">
        <v>1659</v>
      </c>
      <c r="B38" s="402"/>
      <c r="C38" s="181" t="s">
        <v>279</v>
      </c>
      <c r="D38" s="199">
        <v>1</v>
      </c>
    </row>
    <row r="39" spans="1:4" ht="15" customHeight="1">
      <c r="A39" s="287" t="s">
        <v>299</v>
      </c>
      <c r="B39" s="289"/>
      <c r="C39" s="181" t="s">
        <v>279</v>
      </c>
      <c r="D39" s="199">
        <v>2</v>
      </c>
    </row>
    <row r="40" spans="1:4" s="73" customFormat="1" ht="29.25" customHeight="1">
      <c r="A40" s="401" t="s">
        <v>483</v>
      </c>
      <c r="B40" s="402"/>
      <c r="C40" s="105" t="s">
        <v>484</v>
      </c>
      <c r="D40" s="72">
        <v>1.5</v>
      </c>
    </row>
    <row r="41" spans="1:4" ht="15.75" customHeight="1" thickBot="1">
      <c r="A41" s="439" t="s">
        <v>98</v>
      </c>
      <c r="B41" s="440"/>
      <c r="C41" s="77"/>
      <c r="D41" s="77"/>
    </row>
    <row r="42" spans="1:4" ht="15.75" thickBot="1">
      <c r="A42" s="377" t="s">
        <v>99</v>
      </c>
      <c r="B42" s="378"/>
      <c r="C42" s="77"/>
      <c r="D42" s="77"/>
    </row>
    <row r="43" spans="1:4" ht="30.75" customHeight="1" thickBot="1">
      <c r="A43" s="501" t="s">
        <v>307</v>
      </c>
      <c r="B43" s="502"/>
      <c r="C43" s="78" t="s">
        <v>417</v>
      </c>
      <c r="D43" s="80" t="s">
        <v>416</v>
      </c>
    </row>
    <row r="44" spans="1:4" ht="15.75" thickBot="1">
      <c r="A44" s="377" t="s">
        <v>101</v>
      </c>
      <c r="B44" s="378"/>
      <c r="C44" s="77"/>
      <c r="D44" s="77"/>
    </row>
    <row r="45" spans="1:4" ht="15.75" thickBot="1">
      <c r="A45" s="443" t="s">
        <v>102</v>
      </c>
      <c r="B45" s="375"/>
      <c r="C45" s="77" t="s">
        <v>243</v>
      </c>
      <c r="D45" s="77"/>
    </row>
    <row r="46" spans="1:4" ht="15">
      <c r="A46" s="297" t="s">
        <v>251</v>
      </c>
      <c r="B46" s="135"/>
      <c r="C46" s="199"/>
      <c r="D46" s="199">
        <v>2</v>
      </c>
    </row>
    <row r="47" spans="1:4" ht="15">
      <c r="A47" s="297" t="s">
        <v>261</v>
      </c>
      <c r="B47" s="135"/>
      <c r="C47" s="199"/>
      <c r="D47" s="199">
        <v>2</v>
      </c>
    </row>
    <row r="48" spans="1:4" ht="15">
      <c r="A48" s="297" t="s">
        <v>268</v>
      </c>
      <c r="B48" s="135"/>
      <c r="C48" s="199"/>
      <c r="D48" s="199">
        <v>1.5</v>
      </c>
    </row>
    <row r="49" spans="1:4" ht="15">
      <c r="A49" s="297" t="s">
        <v>272</v>
      </c>
      <c r="B49" s="135"/>
      <c r="C49" s="199"/>
      <c r="D49" s="199">
        <v>2</v>
      </c>
    </row>
    <row r="50" spans="1:4" s="73" customFormat="1" ht="15">
      <c r="A50" s="297" t="s">
        <v>1661</v>
      </c>
      <c r="B50" s="91"/>
      <c r="C50" s="72" t="s">
        <v>243</v>
      </c>
      <c r="D50" s="72">
        <v>1.5</v>
      </c>
    </row>
    <row r="51" spans="1:4" s="73" customFormat="1" ht="15">
      <c r="A51" s="297" t="s">
        <v>1663</v>
      </c>
      <c r="B51" s="91"/>
      <c r="C51" s="72" t="s">
        <v>243</v>
      </c>
      <c r="D51" s="72">
        <v>3</v>
      </c>
    </row>
    <row r="52" spans="1:4" s="73" customFormat="1" ht="15">
      <c r="A52" s="297" t="s">
        <v>1664</v>
      </c>
      <c r="B52" s="91"/>
      <c r="C52" s="72" t="s">
        <v>243</v>
      </c>
      <c r="D52" s="72">
        <v>1</v>
      </c>
    </row>
    <row r="53" spans="1:4" s="73" customFormat="1" ht="15" customHeight="1">
      <c r="A53" s="297" t="s">
        <v>1665</v>
      </c>
      <c r="B53" s="91"/>
      <c r="C53" s="72" t="s">
        <v>243</v>
      </c>
      <c r="D53" s="72">
        <v>2</v>
      </c>
    </row>
    <row r="54" spans="1:4" s="73" customFormat="1" ht="15">
      <c r="A54" s="297" t="s">
        <v>1666</v>
      </c>
      <c r="B54" s="91"/>
      <c r="C54" s="72" t="s">
        <v>243</v>
      </c>
      <c r="D54" s="72">
        <v>1</v>
      </c>
    </row>
    <row r="55" spans="1:4" ht="15.75" thickBot="1">
      <c r="A55" s="395" t="s">
        <v>103</v>
      </c>
      <c r="B55" s="396"/>
      <c r="C55" s="77"/>
      <c r="D55" s="77"/>
    </row>
    <row r="56" spans="1:4" ht="15.75" thickBot="1">
      <c r="A56" s="397" t="s">
        <v>104</v>
      </c>
      <c r="B56" s="398"/>
      <c r="C56" s="77"/>
      <c r="D56" s="77"/>
    </row>
    <row r="57" spans="1:4" ht="15">
      <c r="A57" s="79"/>
      <c r="B57" s="79"/>
      <c r="C57" s="76"/>
      <c r="D57" s="76"/>
    </row>
    <row r="58" spans="1:4" ht="15.75">
      <c r="A58" s="394" t="s">
        <v>233</v>
      </c>
      <c r="B58" s="394"/>
      <c r="C58" s="394"/>
      <c r="D58" s="394"/>
    </row>
    <row r="59" spans="1:4" ht="15">
      <c r="A59" s="76"/>
      <c r="B59" s="76"/>
      <c r="C59" s="76"/>
      <c r="D59" s="76"/>
    </row>
    <row r="60" spans="1:4" ht="15.75">
      <c r="A60" s="394" t="s">
        <v>234</v>
      </c>
      <c r="B60" s="394"/>
      <c r="C60" s="394"/>
      <c r="D60" s="394"/>
    </row>
  </sheetData>
  <sheetProtection/>
  <mergeCells count="33">
    <mergeCell ref="A58:D58"/>
    <mergeCell ref="A60:D60"/>
    <mergeCell ref="A41:B41"/>
    <mergeCell ref="A42:B42"/>
    <mergeCell ref="A43:B43"/>
    <mergeCell ref="A44:B44"/>
    <mergeCell ref="A45:B45"/>
    <mergeCell ref="A55:B55"/>
    <mergeCell ref="A56:B56"/>
    <mergeCell ref="A40:B40"/>
    <mergeCell ref="A14:B14"/>
    <mergeCell ref="A15:B15"/>
    <mergeCell ref="A17:B17"/>
    <mergeCell ref="A18:B18"/>
    <mergeCell ref="A19:B19"/>
    <mergeCell ref="A20:B20"/>
    <mergeCell ref="A21:B21"/>
    <mergeCell ref="A22:B22"/>
    <mergeCell ref="A23:B23"/>
    <mergeCell ref="A36:B36"/>
    <mergeCell ref="A38:B38"/>
    <mergeCell ref="A13:B13"/>
    <mergeCell ref="A1:D1"/>
    <mergeCell ref="A2:D2"/>
    <mergeCell ref="A3:D3"/>
    <mergeCell ref="A5:B5"/>
    <mergeCell ref="A6:B6"/>
    <mergeCell ref="A7:B7"/>
    <mergeCell ref="A8:B8"/>
    <mergeCell ref="A9:B9"/>
    <mergeCell ref="A10:B10"/>
    <mergeCell ref="A11:B11"/>
    <mergeCell ref="A12:B12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D79"/>
  <sheetViews>
    <sheetView zoomScalePageLayoutView="0" workbookViewId="0" topLeftCell="A52">
      <selection activeCell="A73" sqref="A73:IV73"/>
    </sheetView>
  </sheetViews>
  <sheetFormatPr defaultColWidth="9.140625" defaultRowHeight="15"/>
  <cols>
    <col min="1" max="1" width="80.8515625" style="0" customWidth="1"/>
    <col min="2" max="2" width="3.28125" style="0" hidden="1" customWidth="1"/>
    <col min="3" max="3" width="24.140625" style="0" customWidth="1"/>
  </cols>
  <sheetData>
    <row r="1" spans="1:4" ht="15.75">
      <c r="A1" s="381" t="s">
        <v>959</v>
      </c>
      <c r="B1" s="381"/>
      <c r="C1" s="381"/>
      <c r="D1" s="381"/>
    </row>
    <row r="2" spans="1:4" ht="15.75">
      <c r="A2" s="382" t="s">
        <v>245</v>
      </c>
      <c r="B2" s="382"/>
      <c r="C2" s="382"/>
      <c r="D2" s="382"/>
    </row>
    <row r="3" spans="1:4" s="55" customFormat="1" ht="15.75">
      <c r="A3" s="382" t="s">
        <v>1667</v>
      </c>
      <c r="B3" s="382"/>
      <c r="C3" s="382"/>
      <c r="D3" s="382"/>
    </row>
    <row r="4" spans="1:4" s="55" customFormat="1" ht="15.75">
      <c r="A4" s="107"/>
      <c r="B4" s="107"/>
      <c r="C4" s="89"/>
      <c r="D4" s="89"/>
    </row>
    <row r="5" spans="1:4" ht="30">
      <c r="A5" s="383" t="s">
        <v>229</v>
      </c>
      <c r="B5" s="384"/>
      <c r="C5" s="86" t="s">
        <v>231</v>
      </c>
      <c r="D5" s="85" t="s">
        <v>530</v>
      </c>
    </row>
    <row r="6" spans="1:4" ht="15">
      <c r="A6" s="383" t="s">
        <v>229</v>
      </c>
      <c r="B6" s="384"/>
      <c r="C6" s="73"/>
      <c r="D6" s="73"/>
    </row>
    <row r="7" spans="1:4" ht="15.75" thickBot="1">
      <c r="A7" s="379" t="s">
        <v>0</v>
      </c>
      <c r="B7" s="380"/>
      <c r="C7" s="76"/>
      <c r="D7" s="76"/>
    </row>
    <row r="8" spans="1:4" ht="15">
      <c r="A8" s="435" t="s">
        <v>24</v>
      </c>
      <c r="B8" s="436"/>
      <c r="C8" s="77"/>
      <c r="D8" s="77"/>
    </row>
    <row r="9" spans="1:4" ht="15">
      <c r="A9" s="435" t="s">
        <v>236</v>
      </c>
      <c r="B9" s="436"/>
      <c r="C9" s="77"/>
      <c r="D9" s="77"/>
    </row>
    <row r="10" spans="1:4" ht="15.75" thickBot="1">
      <c r="A10" s="451" t="s">
        <v>28</v>
      </c>
      <c r="B10" s="445"/>
      <c r="C10" s="77"/>
      <c r="D10" s="77"/>
    </row>
    <row r="11" spans="1:4" ht="15.75" thickBot="1">
      <c r="A11" s="375" t="s">
        <v>29</v>
      </c>
      <c r="B11" s="376"/>
      <c r="C11" s="77"/>
      <c r="D11" s="77"/>
    </row>
    <row r="12" spans="1:4" ht="15">
      <c r="A12" s="433" t="s">
        <v>45</v>
      </c>
      <c r="B12" s="434"/>
      <c r="C12" s="77"/>
      <c r="D12" s="77"/>
    </row>
    <row r="13" spans="1:4" ht="15.75" thickBot="1">
      <c r="A13" s="449" t="s">
        <v>55</v>
      </c>
      <c r="B13" s="450"/>
      <c r="C13" s="77"/>
      <c r="D13" s="77"/>
    </row>
    <row r="14" spans="1:4" ht="15.75" thickBot="1">
      <c r="A14" s="377" t="s">
        <v>56</v>
      </c>
      <c r="B14" s="378"/>
      <c r="C14" s="77"/>
      <c r="D14" s="77"/>
    </row>
    <row r="15" spans="1:4" ht="15.75" thickBot="1">
      <c r="A15" s="375" t="s">
        <v>57</v>
      </c>
      <c r="B15" s="376"/>
      <c r="C15" s="77"/>
      <c r="D15" s="77"/>
    </row>
    <row r="16" spans="1:4" s="73" customFormat="1" ht="15.75" thickBot="1">
      <c r="A16" s="296" t="s">
        <v>1623</v>
      </c>
      <c r="B16" s="288"/>
      <c r="C16" s="72" t="s">
        <v>370</v>
      </c>
      <c r="D16" s="72">
        <f>1*130+175</f>
        <v>305</v>
      </c>
    </row>
    <row r="17" spans="1:4" s="73" customFormat="1" ht="15">
      <c r="A17" s="399" t="s">
        <v>643</v>
      </c>
      <c r="B17" s="400"/>
      <c r="C17" s="72" t="s">
        <v>644</v>
      </c>
      <c r="D17" s="72">
        <v>6</v>
      </c>
    </row>
    <row r="18" spans="1:4" s="73" customFormat="1" ht="15.75" thickBot="1">
      <c r="A18" s="193" t="s">
        <v>1675</v>
      </c>
      <c r="B18" s="238"/>
      <c r="C18" s="162" t="s">
        <v>279</v>
      </c>
      <c r="D18" s="162">
        <f>175+1.5*130</f>
        <v>370</v>
      </c>
    </row>
    <row r="19" spans="1:4" s="73" customFormat="1" ht="15.75" thickBot="1">
      <c r="A19" s="297" t="s">
        <v>1673</v>
      </c>
      <c r="B19" s="288"/>
      <c r="C19" s="72" t="s">
        <v>342</v>
      </c>
      <c r="D19" s="72">
        <f>175+1.5*130</f>
        <v>370</v>
      </c>
    </row>
    <row r="20" spans="1:4" ht="15">
      <c r="A20" s="399" t="s">
        <v>1685</v>
      </c>
      <c r="B20" s="400"/>
      <c r="C20" s="181" t="s">
        <v>1686</v>
      </c>
      <c r="D20" s="199">
        <f>2+2+2</f>
        <v>6</v>
      </c>
    </row>
    <row r="21" spans="1:4" ht="15">
      <c r="A21" s="399" t="s">
        <v>1625</v>
      </c>
      <c r="B21" s="400"/>
      <c r="C21" s="105" t="s">
        <v>850</v>
      </c>
      <c r="D21" s="72">
        <v>1</v>
      </c>
    </row>
    <row r="22" spans="1:4" s="73" customFormat="1" ht="15">
      <c r="A22" s="399" t="s">
        <v>1693</v>
      </c>
      <c r="B22" s="400"/>
      <c r="C22" s="72" t="s">
        <v>553</v>
      </c>
      <c r="D22" s="72">
        <v>4</v>
      </c>
    </row>
    <row r="23" spans="1:4" s="73" customFormat="1" ht="15" customHeight="1">
      <c r="A23" s="399" t="s">
        <v>1694</v>
      </c>
      <c r="B23" s="400"/>
      <c r="C23" s="72" t="s">
        <v>553</v>
      </c>
      <c r="D23" s="72">
        <v>8</v>
      </c>
    </row>
    <row r="24" spans="1:4" s="73" customFormat="1" ht="15">
      <c r="A24" s="400" t="s">
        <v>1695</v>
      </c>
      <c r="B24" s="448"/>
      <c r="C24" s="72" t="s">
        <v>1144</v>
      </c>
      <c r="D24" s="72">
        <v>12</v>
      </c>
    </row>
    <row r="25" spans="1:4" s="73" customFormat="1" ht="18.75" customHeight="1">
      <c r="A25" s="399" t="s">
        <v>892</v>
      </c>
      <c r="B25" s="400"/>
      <c r="C25" s="105" t="s">
        <v>893</v>
      </c>
      <c r="D25" s="72">
        <v>4.8</v>
      </c>
    </row>
    <row r="27" spans="1:4" ht="15.75" customHeight="1" thickBot="1">
      <c r="A27" s="445" t="s">
        <v>63</v>
      </c>
      <c r="B27" s="446"/>
      <c r="C27" s="77"/>
      <c r="D27" s="77"/>
    </row>
    <row r="28" spans="1:4" ht="15.75" thickBot="1">
      <c r="A28" s="387" t="s">
        <v>64</v>
      </c>
      <c r="B28" s="377"/>
      <c r="C28" s="77"/>
      <c r="D28" s="77"/>
    </row>
    <row r="29" spans="1:4" ht="15">
      <c r="A29" s="388" t="s">
        <v>66</v>
      </c>
      <c r="B29" s="389"/>
      <c r="C29" s="77"/>
      <c r="D29" s="77"/>
    </row>
    <row r="30" spans="1:4" ht="15">
      <c r="A30" s="60" t="s">
        <v>68</v>
      </c>
      <c r="B30" s="61"/>
      <c r="C30" s="77"/>
      <c r="D30" s="77"/>
    </row>
    <row r="31" spans="1:4" s="73" customFormat="1" ht="15">
      <c r="A31" s="302" t="s">
        <v>1674</v>
      </c>
      <c r="B31" s="294"/>
      <c r="C31" s="72" t="s">
        <v>481</v>
      </c>
      <c r="D31" s="72">
        <f>350+130*2*3</f>
        <v>1130</v>
      </c>
    </row>
    <row r="32" spans="1:4" s="73" customFormat="1" ht="15">
      <c r="A32" s="197" t="s">
        <v>1676</v>
      </c>
      <c r="B32" s="238"/>
      <c r="C32" s="162" t="s">
        <v>1677</v>
      </c>
      <c r="D32" s="162">
        <f>130*1.5*2+175</f>
        <v>565</v>
      </c>
    </row>
    <row r="33" spans="1:4" s="73" customFormat="1" ht="27.75" customHeight="1">
      <c r="A33" s="87" t="s">
        <v>1688</v>
      </c>
      <c r="B33" s="88"/>
      <c r="C33" s="105" t="s">
        <v>850</v>
      </c>
      <c r="D33" s="72">
        <f>1+2</f>
        <v>3</v>
      </c>
    </row>
    <row r="34" spans="1:4" s="73" customFormat="1" ht="15" customHeight="1">
      <c r="A34" s="87" t="s">
        <v>988</v>
      </c>
      <c r="B34" s="88"/>
      <c r="C34" s="72" t="s">
        <v>370</v>
      </c>
      <c r="D34" s="72">
        <v>1</v>
      </c>
    </row>
    <row r="35" spans="1:4" s="73" customFormat="1" ht="29.25" customHeight="1">
      <c r="A35" s="87" t="s">
        <v>1689</v>
      </c>
      <c r="B35" s="88"/>
      <c r="C35" s="105" t="s">
        <v>714</v>
      </c>
      <c r="D35" s="72">
        <f>4+4</f>
        <v>8</v>
      </c>
    </row>
    <row r="37" spans="1:4" s="73" customFormat="1" ht="26.25" customHeight="1">
      <c r="A37" s="399" t="s">
        <v>1699</v>
      </c>
      <c r="B37" s="400"/>
      <c r="C37" s="72" t="s">
        <v>396</v>
      </c>
      <c r="D37" s="72">
        <v>6</v>
      </c>
    </row>
    <row r="38" spans="1:4" s="73" customFormat="1" ht="15">
      <c r="A38" s="399" t="s">
        <v>1700</v>
      </c>
      <c r="B38" s="400"/>
      <c r="C38" s="72" t="s">
        <v>1521</v>
      </c>
      <c r="D38" s="72">
        <v>5</v>
      </c>
    </row>
    <row r="39" spans="1:4" ht="15" customHeight="1">
      <c r="A39" s="68" t="s">
        <v>88</v>
      </c>
      <c r="B39" s="69"/>
      <c r="C39" s="77"/>
      <c r="D39" s="77"/>
    </row>
    <row r="40" spans="1:4" ht="15">
      <c r="A40" s="390" t="s">
        <v>90</v>
      </c>
      <c r="B40" s="391"/>
      <c r="C40" s="77"/>
      <c r="D40" s="77"/>
    </row>
    <row r="41" spans="1:4" s="73" customFormat="1" ht="15">
      <c r="A41" s="297" t="s">
        <v>1668</v>
      </c>
      <c r="B41" s="91"/>
      <c r="C41" s="72" t="s">
        <v>347</v>
      </c>
      <c r="D41" s="72">
        <f>3*130+350</f>
        <v>740</v>
      </c>
    </row>
    <row r="42" spans="1:4" s="73" customFormat="1" ht="15">
      <c r="A42" s="297" t="s">
        <v>1669</v>
      </c>
      <c r="B42" s="91"/>
      <c r="C42" s="72" t="s">
        <v>400</v>
      </c>
      <c r="D42" s="72">
        <f>2*130+175</f>
        <v>435</v>
      </c>
    </row>
    <row r="43" spans="1:4" s="73" customFormat="1" ht="15">
      <c r="A43" s="297" t="s">
        <v>1670</v>
      </c>
      <c r="B43" s="91"/>
      <c r="C43" s="72" t="s">
        <v>328</v>
      </c>
      <c r="D43" s="72">
        <f>130+175</f>
        <v>305</v>
      </c>
    </row>
    <row r="44" spans="1:4" s="73" customFormat="1" ht="15">
      <c r="A44" s="297" t="s">
        <v>1671</v>
      </c>
      <c r="B44" s="91"/>
      <c r="C44" s="72" t="s">
        <v>1672</v>
      </c>
      <c r="D44" s="72">
        <f>130+29+77+130*2.5*2+175</f>
        <v>1061</v>
      </c>
    </row>
    <row r="45" spans="1:4" s="89" customFormat="1" ht="15">
      <c r="A45" s="287" t="s">
        <v>1678</v>
      </c>
      <c r="B45" s="116"/>
      <c r="C45" s="72" t="s">
        <v>447</v>
      </c>
      <c r="D45" s="72">
        <f>175+130*2*1.5</f>
        <v>565</v>
      </c>
    </row>
    <row r="46" spans="1:4" s="73" customFormat="1" ht="15">
      <c r="A46" s="260" t="s">
        <v>1679</v>
      </c>
      <c r="B46" s="91"/>
      <c r="C46" s="183" t="s">
        <v>342</v>
      </c>
      <c r="D46" s="183">
        <f>175+130</f>
        <v>305</v>
      </c>
    </row>
    <row r="47" spans="1:4" s="73" customFormat="1" ht="28.5">
      <c r="A47" s="297" t="s">
        <v>1680</v>
      </c>
      <c r="B47" s="91"/>
      <c r="C47" s="72" t="s">
        <v>342</v>
      </c>
      <c r="D47" s="72">
        <f>175+130</f>
        <v>305</v>
      </c>
    </row>
    <row r="48" spans="1:4" s="73" customFormat="1" ht="15">
      <c r="A48" s="297" t="s">
        <v>1681</v>
      </c>
      <c r="B48" s="91"/>
      <c r="C48" s="72" t="s">
        <v>342</v>
      </c>
      <c r="D48" s="72">
        <f>175+130*1.5</f>
        <v>370</v>
      </c>
    </row>
    <row r="49" spans="1:4" s="73" customFormat="1" ht="15">
      <c r="A49" s="297" t="s">
        <v>1682</v>
      </c>
      <c r="B49" s="91"/>
      <c r="C49" s="72" t="s">
        <v>342</v>
      </c>
      <c r="D49" s="72">
        <f>2*130+175</f>
        <v>435</v>
      </c>
    </row>
    <row r="50" spans="1:4" ht="15">
      <c r="A50" s="297" t="s">
        <v>1646</v>
      </c>
      <c r="B50" s="91"/>
      <c r="C50" s="105" t="s">
        <v>817</v>
      </c>
      <c r="D50" s="72">
        <f>100+130*0.5*2</f>
        <v>230</v>
      </c>
    </row>
    <row r="51" spans="1:4" ht="15" customHeight="1">
      <c r="A51" s="513" t="s">
        <v>1691</v>
      </c>
      <c r="B51" s="514"/>
      <c r="C51" s="181" t="s">
        <v>279</v>
      </c>
      <c r="D51" s="199">
        <v>1</v>
      </c>
    </row>
    <row r="52" spans="1:4" s="73" customFormat="1" ht="29.25" customHeight="1">
      <c r="A52" s="401" t="s">
        <v>483</v>
      </c>
      <c r="B52" s="402"/>
      <c r="C52" s="105" t="s">
        <v>484</v>
      </c>
      <c r="D52" s="72">
        <v>1.5</v>
      </c>
    </row>
    <row r="53" spans="1:4" s="73" customFormat="1" ht="15">
      <c r="A53" s="399" t="s">
        <v>643</v>
      </c>
      <c r="B53" s="400"/>
      <c r="C53" s="72" t="s">
        <v>644</v>
      </c>
      <c r="D53" s="72">
        <v>6</v>
      </c>
    </row>
    <row r="54" spans="1:4" s="73" customFormat="1" ht="18.75" customHeight="1">
      <c r="A54" s="401" t="s">
        <v>1696</v>
      </c>
      <c r="B54" s="402"/>
      <c r="C54" s="105" t="s">
        <v>1507</v>
      </c>
      <c r="D54" s="72">
        <v>3</v>
      </c>
    </row>
    <row r="55" spans="1:4" s="73" customFormat="1" ht="18.75" customHeight="1">
      <c r="A55" s="401" t="s">
        <v>1697</v>
      </c>
      <c r="B55" s="402"/>
      <c r="C55" s="105" t="s">
        <v>1698</v>
      </c>
      <c r="D55" s="72">
        <v>4</v>
      </c>
    </row>
    <row r="56" spans="1:4" s="73" customFormat="1" ht="33" customHeight="1">
      <c r="A56" s="292" t="s">
        <v>905</v>
      </c>
      <c r="B56" s="293"/>
      <c r="C56" s="105" t="s">
        <v>906</v>
      </c>
      <c r="D56" s="72">
        <v>1.2</v>
      </c>
    </row>
    <row r="57" spans="1:4" s="73" customFormat="1" ht="15">
      <c r="A57" s="402" t="s">
        <v>909</v>
      </c>
      <c r="B57" s="413"/>
      <c r="C57" s="72" t="s">
        <v>910</v>
      </c>
      <c r="D57" s="72">
        <v>1.5</v>
      </c>
    </row>
    <row r="58" spans="1:4" s="73" customFormat="1" ht="16.5" customHeight="1">
      <c r="A58" s="287" t="s">
        <v>1304</v>
      </c>
      <c r="B58" s="287"/>
      <c r="C58" s="105" t="s">
        <v>1162</v>
      </c>
      <c r="D58" s="72">
        <v>1</v>
      </c>
    </row>
    <row r="59" spans="1:4" s="73" customFormat="1" ht="30" customHeight="1">
      <c r="A59" s="401" t="s">
        <v>1701</v>
      </c>
      <c r="B59" s="402"/>
      <c r="C59" s="105" t="s">
        <v>553</v>
      </c>
      <c r="D59" s="72">
        <v>2</v>
      </c>
    </row>
    <row r="60" spans="1:4" s="73" customFormat="1" ht="18" customHeight="1">
      <c r="A60" s="287" t="s">
        <v>1089</v>
      </c>
      <c r="B60" s="289"/>
      <c r="C60" s="72" t="s">
        <v>1090</v>
      </c>
      <c r="D60" s="72">
        <v>1.5</v>
      </c>
    </row>
    <row r="61" spans="1:4" ht="15.75" customHeight="1" thickBot="1">
      <c r="A61" s="439" t="s">
        <v>98</v>
      </c>
      <c r="B61" s="440"/>
      <c r="C61" s="77"/>
      <c r="D61" s="77"/>
    </row>
    <row r="62" spans="1:4" ht="15.75" thickBot="1">
      <c r="A62" s="377" t="s">
        <v>99</v>
      </c>
      <c r="B62" s="378"/>
      <c r="C62" s="77"/>
      <c r="D62" s="77"/>
    </row>
    <row r="63" spans="1:4" ht="30.75" customHeight="1" thickBot="1">
      <c r="A63" s="501" t="s">
        <v>307</v>
      </c>
      <c r="B63" s="502"/>
      <c r="C63" s="78" t="s">
        <v>417</v>
      </c>
      <c r="D63" s="80" t="s">
        <v>416</v>
      </c>
    </row>
    <row r="64" spans="1:4" ht="15.75" thickBot="1">
      <c r="A64" s="377" t="s">
        <v>101</v>
      </c>
      <c r="B64" s="378"/>
      <c r="C64" s="77"/>
      <c r="D64" s="77"/>
    </row>
    <row r="65" spans="1:4" ht="15.75" thickBot="1">
      <c r="A65" s="443" t="s">
        <v>102</v>
      </c>
      <c r="B65" s="375"/>
      <c r="C65" s="77" t="s">
        <v>243</v>
      </c>
      <c r="D65" s="77"/>
    </row>
    <row r="66" spans="1:4" s="73" customFormat="1" ht="15">
      <c r="A66" s="297" t="s">
        <v>1683</v>
      </c>
      <c r="B66" s="295"/>
      <c r="C66" s="72" t="s">
        <v>243</v>
      </c>
      <c r="D66" s="72">
        <f>130*2+175</f>
        <v>435</v>
      </c>
    </row>
    <row r="67" spans="1:4" s="73" customFormat="1" ht="15">
      <c r="A67" s="297" t="s">
        <v>1684</v>
      </c>
      <c r="B67" s="295"/>
      <c r="C67" s="72" t="s">
        <v>243</v>
      </c>
      <c r="D67" s="72">
        <f>4*130+175</f>
        <v>695</v>
      </c>
    </row>
    <row r="68" spans="1:4" ht="15">
      <c r="A68" s="297" t="s">
        <v>1687</v>
      </c>
      <c r="B68" s="135"/>
      <c r="C68" s="199"/>
      <c r="D68" s="199">
        <v>1.5</v>
      </c>
    </row>
    <row r="69" spans="1:4" ht="15">
      <c r="A69" s="186" t="s">
        <v>249</v>
      </c>
      <c r="B69" s="135"/>
      <c r="C69" s="199"/>
      <c r="D69" s="199">
        <v>2</v>
      </c>
    </row>
    <row r="70" spans="1:4" s="73" customFormat="1" ht="15">
      <c r="A70" s="297" t="s">
        <v>1690</v>
      </c>
      <c r="B70" s="91"/>
      <c r="C70" s="72" t="s">
        <v>243</v>
      </c>
      <c r="D70" s="72">
        <v>1.5</v>
      </c>
    </row>
    <row r="71" spans="1:4" s="73" customFormat="1" ht="15">
      <c r="A71" s="297" t="s">
        <v>1692</v>
      </c>
      <c r="B71" s="91"/>
      <c r="C71" s="72" t="s">
        <v>243</v>
      </c>
      <c r="D71" s="72">
        <v>2</v>
      </c>
    </row>
    <row r="72" spans="1:4" s="73" customFormat="1" ht="15">
      <c r="A72" s="297" t="s">
        <v>562</v>
      </c>
      <c r="B72" s="91"/>
      <c r="C72" s="72" t="s">
        <v>243</v>
      </c>
      <c r="D72" s="72">
        <v>2</v>
      </c>
    </row>
    <row r="73" spans="1:4" s="73" customFormat="1" ht="15">
      <c r="A73" s="297" t="s">
        <v>1702</v>
      </c>
      <c r="B73" s="91"/>
      <c r="C73" s="72" t="s">
        <v>243</v>
      </c>
      <c r="D73" s="72">
        <v>2</v>
      </c>
    </row>
    <row r="74" spans="1:4" ht="15.75" thickBot="1">
      <c r="A74" s="395" t="s">
        <v>103</v>
      </c>
      <c r="B74" s="396"/>
      <c r="C74" s="77"/>
      <c r="D74" s="77"/>
    </row>
    <row r="75" spans="1:4" ht="15.75" thickBot="1">
      <c r="A75" s="397" t="s">
        <v>104</v>
      </c>
      <c r="B75" s="398"/>
      <c r="C75" s="77"/>
      <c r="D75" s="77"/>
    </row>
    <row r="76" spans="1:4" ht="15">
      <c r="A76" s="79"/>
      <c r="B76" s="79"/>
      <c r="C76" s="76"/>
      <c r="D76" s="76"/>
    </row>
    <row r="77" spans="1:4" ht="15.75">
      <c r="A77" s="394" t="s">
        <v>233</v>
      </c>
      <c r="B77" s="394"/>
      <c r="C77" s="394"/>
      <c r="D77" s="394"/>
    </row>
    <row r="78" spans="1:4" ht="15">
      <c r="A78" s="76"/>
      <c r="B78" s="76"/>
      <c r="C78" s="76"/>
      <c r="D78" s="76"/>
    </row>
    <row r="79" spans="1:4" ht="15.75">
      <c r="A79" s="394" t="s">
        <v>234</v>
      </c>
      <c r="B79" s="394"/>
      <c r="C79" s="394"/>
      <c r="D79" s="394"/>
    </row>
  </sheetData>
  <sheetProtection/>
  <mergeCells count="43">
    <mergeCell ref="A22:B22"/>
    <mergeCell ref="A77:D77"/>
    <mergeCell ref="A79:D79"/>
    <mergeCell ref="A61:B61"/>
    <mergeCell ref="A62:B62"/>
    <mergeCell ref="A63:B63"/>
    <mergeCell ref="A64:B64"/>
    <mergeCell ref="A65:B65"/>
    <mergeCell ref="A74:B74"/>
    <mergeCell ref="A75:B75"/>
    <mergeCell ref="A57:B57"/>
    <mergeCell ref="A37:B37"/>
    <mergeCell ref="A38:B38"/>
    <mergeCell ref="A59:B59"/>
    <mergeCell ref="A23:B23"/>
    <mergeCell ref="A24:B24"/>
    <mergeCell ref="A14:B14"/>
    <mergeCell ref="A15:B15"/>
    <mergeCell ref="A17:B17"/>
    <mergeCell ref="A20:B20"/>
    <mergeCell ref="A21:B21"/>
    <mergeCell ref="A13:B13"/>
    <mergeCell ref="A1:D1"/>
    <mergeCell ref="A2:D2"/>
    <mergeCell ref="A3:D3"/>
    <mergeCell ref="A5:B5"/>
    <mergeCell ref="A6:B6"/>
    <mergeCell ref="A7:B7"/>
    <mergeCell ref="A8:B8"/>
    <mergeCell ref="A9:B9"/>
    <mergeCell ref="A10:B10"/>
    <mergeCell ref="A11:B11"/>
    <mergeCell ref="A12:B12"/>
    <mergeCell ref="A25:B25"/>
    <mergeCell ref="A54:B54"/>
    <mergeCell ref="A55:B55"/>
    <mergeCell ref="A53:B53"/>
    <mergeCell ref="A27:B27"/>
    <mergeCell ref="A28:B28"/>
    <mergeCell ref="A29:B29"/>
    <mergeCell ref="A40:B40"/>
    <mergeCell ref="A51:B51"/>
    <mergeCell ref="A52:B52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D86"/>
  <sheetViews>
    <sheetView zoomScalePageLayoutView="0" workbookViewId="0" topLeftCell="A61">
      <selection activeCell="G73" sqref="G73"/>
    </sheetView>
  </sheetViews>
  <sheetFormatPr defaultColWidth="9.140625" defaultRowHeight="15"/>
  <cols>
    <col min="1" max="1" width="80.8515625" style="0" customWidth="1"/>
    <col min="2" max="2" width="3.28125" style="0" hidden="1" customWidth="1"/>
    <col min="3" max="3" width="22.140625" style="0" customWidth="1"/>
  </cols>
  <sheetData>
    <row r="1" spans="1:4" ht="15.75">
      <c r="A1" s="381" t="s">
        <v>959</v>
      </c>
      <c r="B1" s="381"/>
      <c r="C1" s="381"/>
      <c r="D1" s="381"/>
    </row>
    <row r="2" spans="1:4" ht="15.75">
      <c r="A2" s="382" t="s">
        <v>250</v>
      </c>
      <c r="B2" s="382"/>
      <c r="C2" s="382"/>
      <c r="D2" s="382"/>
    </row>
    <row r="3" spans="1:4" s="55" customFormat="1" ht="15.75">
      <c r="A3" s="382" t="s">
        <v>1703</v>
      </c>
      <c r="B3" s="382"/>
      <c r="C3" s="382"/>
      <c r="D3" s="382"/>
    </row>
    <row r="4" spans="1:4" s="55" customFormat="1" ht="15.75">
      <c r="A4" s="96"/>
      <c r="B4" s="96"/>
      <c r="C4" s="89"/>
      <c r="D4" s="89"/>
    </row>
    <row r="5" spans="1:4" ht="30">
      <c r="A5" s="383" t="s">
        <v>229</v>
      </c>
      <c r="B5" s="384"/>
      <c r="C5" s="86" t="s">
        <v>231</v>
      </c>
      <c r="D5" s="85" t="s">
        <v>530</v>
      </c>
    </row>
    <row r="6" spans="1:4" ht="15">
      <c r="A6" s="383" t="s">
        <v>229</v>
      </c>
      <c r="B6" s="384"/>
      <c r="C6" s="73"/>
      <c r="D6" s="73"/>
    </row>
    <row r="7" spans="1:4" ht="15.75" thickBot="1">
      <c r="A7" s="379" t="s">
        <v>0</v>
      </c>
      <c r="B7" s="380"/>
      <c r="C7" s="76"/>
      <c r="D7" s="76"/>
    </row>
    <row r="8" spans="1:4" ht="15">
      <c r="A8" s="435" t="s">
        <v>24</v>
      </c>
      <c r="B8" s="436"/>
      <c r="C8" s="77"/>
      <c r="D8" s="77"/>
    </row>
    <row r="9" spans="1:4" ht="15">
      <c r="A9" s="435" t="s">
        <v>236</v>
      </c>
      <c r="B9" s="436"/>
      <c r="C9" s="77"/>
      <c r="D9" s="77"/>
    </row>
    <row r="10" spans="1:4" ht="15.75" thickBot="1">
      <c r="A10" s="451" t="s">
        <v>28</v>
      </c>
      <c r="B10" s="445"/>
      <c r="C10" s="77"/>
      <c r="D10" s="77"/>
    </row>
    <row r="11" spans="1:4" ht="15.75" thickBot="1">
      <c r="A11" s="375" t="s">
        <v>29</v>
      </c>
      <c r="B11" s="376"/>
      <c r="C11" s="77"/>
      <c r="D11" s="77"/>
    </row>
    <row r="12" spans="1:4" ht="15">
      <c r="A12" s="433" t="s">
        <v>45</v>
      </c>
      <c r="B12" s="434"/>
      <c r="C12" s="77"/>
      <c r="D12" s="77"/>
    </row>
    <row r="13" spans="1:4" ht="15.75" thickBot="1">
      <c r="A13" s="449" t="s">
        <v>55</v>
      </c>
      <c r="B13" s="450"/>
      <c r="C13" s="77"/>
      <c r="D13" s="77"/>
    </row>
    <row r="14" spans="1:4" ht="15.75" thickBot="1">
      <c r="A14" s="377" t="s">
        <v>56</v>
      </c>
      <c r="B14" s="378"/>
      <c r="C14" s="77"/>
      <c r="D14" s="77"/>
    </row>
    <row r="15" spans="1:4" ht="15.75" thickBot="1">
      <c r="A15" s="375" t="s">
        <v>57</v>
      </c>
      <c r="B15" s="376"/>
      <c r="C15" s="77"/>
      <c r="D15" s="77"/>
    </row>
    <row r="16" spans="1:4" s="73" customFormat="1" ht="15.75" thickBot="1">
      <c r="A16" s="296" t="s">
        <v>1623</v>
      </c>
      <c r="B16" s="288"/>
      <c r="C16" s="72" t="s">
        <v>370</v>
      </c>
      <c r="D16" s="72">
        <f>1*130+175</f>
        <v>305</v>
      </c>
    </row>
    <row r="17" spans="1:4" ht="15">
      <c r="A17" s="399" t="s">
        <v>1625</v>
      </c>
      <c r="B17" s="400"/>
      <c r="C17" s="72" t="s">
        <v>850</v>
      </c>
      <c r="D17" s="72">
        <v>1</v>
      </c>
    </row>
    <row r="18" spans="1:4" ht="15">
      <c r="A18" s="399" t="s">
        <v>430</v>
      </c>
      <c r="B18" s="400"/>
      <c r="C18" s="72" t="s">
        <v>429</v>
      </c>
      <c r="D18" s="72">
        <v>3</v>
      </c>
    </row>
    <row r="19" spans="1:4" s="73" customFormat="1" ht="15">
      <c r="A19" s="72" t="s">
        <v>1717</v>
      </c>
      <c r="B19" s="72"/>
      <c r="C19" s="72" t="s">
        <v>1718</v>
      </c>
      <c r="D19" s="72">
        <v>2</v>
      </c>
    </row>
    <row r="20" spans="1:4" ht="15">
      <c r="A20" s="436" t="s">
        <v>61</v>
      </c>
      <c r="B20" s="447"/>
      <c r="C20" s="77"/>
      <c r="D20" s="77"/>
    </row>
    <row r="21" spans="1:4" ht="15" customHeight="1">
      <c r="A21" s="436" t="s">
        <v>62</v>
      </c>
      <c r="B21" s="447"/>
      <c r="C21" s="77"/>
      <c r="D21" s="77"/>
    </row>
    <row r="22" spans="1:4" ht="15.75" customHeight="1" thickBot="1">
      <c r="A22" s="445" t="s">
        <v>63</v>
      </c>
      <c r="B22" s="446"/>
      <c r="C22" s="77"/>
      <c r="D22" s="77"/>
    </row>
    <row r="23" spans="1:4" ht="15.75" thickBot="1">
      <c r="A23" s="387" t="s">
        <v>64</v>
      </c>
      <c r="B23" s="377"/>
      <c r="C23" s="77"/>
      <c r="D23" s="77"/>
    </row>
    <row r="24" spans="1:4" ht="15">
      <c r="A24" s="388" t="s">
        <v>66</v>
      </c>
      <c r="B24" s="389"/>
      <c r="C24" s="77"/>
      <c r="D24" s="77"/>
    </row>
    <row r="25" spans="1:4" ht="15">
      <c r="A25" s="60" t="s">
        <v>68</v>
      </c>
      <c r="B25" s="61"/>
      <c r="C25" s="77"/>
      <c r="D25" s="77"/>
    </row>
    <row r="26" spans="1:4" ht="15">
      <c r="A26" s="182" t="s">
        <v>1709</v>
      </c>
      <c r="B26" s="138"/>
      <c r="C26" s="181" t="s">
        <v>360</v>
      </c>
      <c r="D26" s="199">
        <v>2.5</v>
      </c>
    </row>
    <row r="27" spans="1:4" ht="15" customHeight="1">
      <c r="A27" s="87" t="s">
        <v>1710</v>
      </c>
      <c r="B27" s="140"/>
      <c r="C27" s="181" t="s">
        <v>328</v>
      </c>
      <c r="D27" s="199">
        <v>7</v>
      </c>
    </row>
    <row r="28" spans="1:4" s="73" customFormat="1" ht="15">
      <c r="A28" s="182" t="s">
        <v>1711</v>
      </c>
      <c r="B28" s="93"/>
      <c r="C28" s="72" t="s">
        <v>342</v>
      </c>
      <c r="D28" s="72">
        <v>2</v>
      </c>
    </row>
    <row r="29" spans="1:4" s="73" customFormat="1" ht="28.5">
      <c r="A29" s="92" t="s">
        <v>1712</v>
      </c>
      <c r="B29" s="93"/>
      <c r="C29" s="72" t="s">
        <v>1713</v>
      </c>
      <c r="D29" s="72">
        <v>2</v>
      </c>
    </row>
    <row r="30" spans="1:4" s="73" customFormat="1" ht="15">
      <c r="A30" s="92" t="s">
        <v>554</v>
      </c>
      <c r="B30" s="93"/>
      <c r="C30" s="72" t="s">
        <v>400</v>
      </c>
      <c r="D30" s="72">
        <f>1.5</f>
        <v>1.5</v>
      </c>
    </row>
    <row r="31" spans="1:4" s="73" customFormat="1" ht="16.5" customHeight="1">
      <c r="A31" s="287" t="s">
        <v>1304</v>
      </c>
      <c r="B31" s="287"/>
      <c r="C31" s="105" t="s">
        <v>1162</v>
      </c>
      <c r="D31" s="72">
        <v>1</v>
      </c>
    </row>
    <row r="32" spans="1:4" ht="15">
      <c r="A32" s="62" t="s">
        <v>237</v>
      </c>
      <c r="B32" s="63"/>
      <c r="C32" s="77"/>
      <c r="D32" s="77"/>
    </row>
    <row r="33" spans="1:4" ht="15" customHeight="1">
      <c r="A33" s="64" t="s">
        <v>238</v>
      </c>
      <c r="B33" s="65"/>
      <c r="C33" s="77"/>
      <c r="D33" s="77"/>
    </row>
    <row r="34" spans="1:4" ht="15" customHeight="1">
      <c r="A34" s="66" t="s">
        <v>80</v>
      </c>
      <c r="B34" s="67"/>
      <c r="C34" s="77"/>
      <c r="D34" s="77"/>
    </row>
    <row r="35" spans="1:4" ht="15" customHeight="1">
      <c r="A35" s="64" t="s">
        <v>82</v>
      </c>
      <c r="B35" s="65"/>
      <c r="C35" s="77"/>
      <c r="D35" s="77"/>
    </row>
    <row r="36" spans="1:4" ht="15">
      <c r="A36" s="64" t="s">
        <v>84</v>
      </c>
      <c r="B36" s="65"/>
      <c r="C36" s="77"/>
      <c r="D36" s="77"/>
    </row>
    <row r="37" spans="1:4" ht="15" customHeight="1">
      <c r="A37" s="64" t="s">
        <v>86</v>
      </c>
      <c r="B37" s="65"/>
      <c r="C37" s="77"/>
      <c r="D37" s="77"/>
    </row>
    <row r="38" spans="1:4" ht="15" customHeight="1">
      <c r="A38" s="68" t="s">
        <v>88</v>
      </c>
      <c r="B38" s="69"/>
      <c r="C38" s="77"/>
      <c r="D38" s="77"/>
    </row>
    <row r="39" spans="1:4" ht="15">
      <c r="A39" s="390" t="s">
        <v>90</v>
      </c>
      <c r="B39" s="391"/>
      <c r="C39" s="77"/>
      <c r="D39" s="77"/>
    </row>
    <row r="40" spans="1:4" s="73" customFormat="1" ht="28.5">
      <c r="A40" s="297" t="s">
        <v>1704</v>
      </c>
      <c r="B40" s="91"/>
      <c r="C40" s="72" t="s">
        <v>357</v>
      </c>
      <c r="D40" s="72">
        <f>175+130*2</f>
        <v>435</v>
      </c>
    </row>
    <row r="41" spans="1:4" s="73" customFormat="1" ht="28.5">
      <c r="A41" s="186" t="s">
        <v>1705</v>
      </c>
      <c r="B41" s="91"/>
      <c r="C41" s="72" t="s">
        <v>357</v>
      </c>
      <c r="D41" s="72">
        <f>175+130*2*4</f>
        <v>1215</v>
      </c>
    </row>
    <row r="42" spans="1:4" s="73" customFormat="1" ht="15">
      <c r="A42" s="297" t="s">
        <v>1706</v>
      </c>
      <c r="B42" s="91"/>
      <c r="C42" s="72" t="s">
        <v>342</v>
      </c>
      <c r="D42" s="72">
        <f>3*130+175</f>
        <v>565</v>
      </c>
    </row>
    <row r="43" spans="1:4" s="73" customFormat="1" ht="29.25" customHeight="1">
      <c r="A43" s="401" t="s">
        <v>483</v>
      </c>
      <c r="B43" s="402"/>
      <c r="C43" s="105" t="s">
        <v>484</v>
      </c>
      <c r="D43" s="72">
        <v>1.5</v>
      </c>
    </row>
    <row r="44" spans="1:4" s="73" customFormat="1" ht="18.75" customHeight="1">
      <c r="A44" s="401" t="s">
        <v>1696</v>
      </c>
      <c r="B44" s="402"/>
      <c r="C44" s="105" t="s">
        <v>1507</v>
      </c>
      <c r="D44" s="72">
        <v>3</v>
      </c>
    </row>
    <row r="45" spans="1:4" s="73" customFormat="1" ht="15" customHeight="1">
      <c r="A45" s="287" t="s">
        <v>1298</v>
      </c>
      <c r="B45" s="289"/>
      <c r="C45" s="72" t="s">
        <v>1299</v>
      </c>
      <c r="D45" s="72">
        <v>2</v>
      </c>
    </row>
    <row r="46" spans="1:4" s="73" customFormat="1" ht="18.75" customHeight="1">
      <c r="A46" s="401" t="s">
        <v>1697</v>
      </c>
      <c r="B46" s="402"/>
      <c r="C46" s="105" t="s">
        <v>1698</v>
      </c>
      <c r="D46" s="72">
        <v>4</v>
      </c>
    </row>
    <row r="47" spans="1:4" s="73" customFormat="1" ht="45.75" customHeight="1">
      <c r="A47" s="402" t="s">
        <v>1719</v>
      </c>
      <c r="B47" s="413"/>
      <c r="C47" s="105" t="s">
        <v>1720</v>
      </c>
      <c r="D47" s="72">
        <v>6</v>
      </c>
    </row>
    <row r="48" spans="1:4" s="73" customFormat="1" ht="45.75" customHeight="1">
      <c r="A48" s="292" t="s">
        <v>1721</v>
      </c>
      <c r="B48" s="293"/>
      <c r="C48" s="105" t="s">
        <v>1722</v>
      </c>
      <c r="D48" s="72">
        <v>8</v>
      </c>
    </row>
    <row r="49" spans="1:4" s="73" customFormat="1" ht="45.75" customHeight="1">
      <c r="A49" s="292" t="s">
        <v>1723</v>
      </c>
      <c r="B49" s="293"/>
      <c r="C49" s="105" t="s">
        <v>1724</v>
      </c>
      <c r="D49" s="72">
        <v>4</v>
      </c>
    </row>
    <row r="50" spans="1:4" s="73" customFormat="1" ht="33" customHeight="1">
      <c r="A50" s="292" t="s">
        <v>905</v>
      </c>
      <c r="B50" s="293"/>
      <c r="C50" s="105" t="s">
        <v>906</v>
      </c>
      <c r="D50" s="72">
        <v>1.2</v>
      </c>
    </row>
    <row r="51" spans="1:4" s="73" customFormat="1" ht="15">
      <c r="A51" s="402" t="s">
        <v>909</v>
      </c>
      <c r="B51" s="413"/>
      <c r="C51" s="72" t="s">
        <v>910</v>
      </c>
      <c r="D51" s="72">
        <v>1.5</v>
      </c>
    </row>
    <row r="52" spans="1:4" s="73" customFormat="1" ht="18" customHeight="1">
      <c r="A52" s="287" t="s">
        <v>1089</v>
      </c>
      <c r="B52" s="289"/>
      <c r="C52" s="72" t="s">
        <v>1090</v>
      </c>
      <c r="D52" s="72">
        <v>1.5</v>
      </c>
    </row>
    <row r="53" spans="1:4" s="73" customFormat="1" ht="15" customHeight="1">
      <c r="A53" s="202" t="s">
        <v>1091</v>
      </c>
      <c r="B53" s="254"/>
      <c r="C53" s="105" t="s">
        <v>1092</v>
      </c>
      <c r="D53" s="72">
        <v>1.5</v>
      </c>
    </row>
    <row r="54" spans="1:4" ht="15">
      <c r="A54" s="437" t="s">
        <v>96</v>
      </c>
      <c r="B54" s="438"/>
      <c r="C54" s="77"/>
      <c r="D54" s="77"/>
    </row>
    <row r="55" spans="1:4" ht="15.75" customHeight="1" thickBot="1">
      <c r="A55" s="439" t="s">
        <v>98</v>
      </c>
      <c r="B55" s="440"/>
      <c r="C55" s="77"/>
      <c r="D55" s="77"/>
    </row>
    <row r="56" spans="1:4" ht="15.75" thickBot="1">
      <c r="A56" s="377" t="s">
        <v>99</v>
      </c>
      <c r="B56" s="378"/>
      <c r="C56" s="77"/>
      <c r="D56" s="77"/>
    </row>
    <row r="57" spans="1:4" ht="30.75" customHeight="1" thickBot="1">
      <c r="A57" s="501" t="s">
        <v>307</v>
      </c>
      <c r="B57" s="502"/>
      <c r="C57" s="78" t="s">
        <v>417</v>
      </c>
      <c r="D57" s="80" t="s">
        <v>415</v>
      </c>
    </row>
    <row r="58" spans="1:4" ht="15.75" thickBot="1">
      <c r="A58" s="377" t="s">
        <v>101</v>
      </c>
      <c r="B58" s="378"/>
      <c r="C58" s="77"/>
      <c r="D58" s="77"/>
    </row>
    <row r="59" spans="1:4" ht="15.75" thickBot="1">
      <c r="A59" s="443" t="s">
        <v>102</v>
      </c>
      <c r="B59" s="375"/>
      <c r="C59" s="77" t="s">
        <v>243</v>
      </c>
      <c r="D59" s="77"/>
    </row>
    <row r="60" spans="1:4" s="73" customFormat="1" ht="15">
      <c r="A60" s="297" t="s">
        <v>1707</v>
      </c>
      <c r="B60" s="295"/>
      <c r="C60" s="72" t="s">
        <v>243</v>
      </c>
      <c r="D60" s="72">
        <f>2*130+175</f>
        <v>435</v>
      </c>
    </row>
    <row r="61" spans="1:4" s="73" customFormat="1" ht="15">
      <c r="A61" s="297" t="s">
        <v>1708</v>
      </c>
      <c r="B61" s="295"/>
      <c r="C61" s="72" t="s">
        <v>243</v>
      </c>
      <c r="D61" s="72">
        <f>2.5*130+175</f>
        <v>500</v>
      </c>
    </row>
    <row r="62" spans="1:4" ht="15">
      <c r="A62" s="297" t="s">
        <v>251</v>
      </c>
      <c r="B62" s="135"/>
      <c r="C62" s="199"/>
      <c r="D62" s="199">
        <v>2</v>
      </c>
    </row>
    <row r="63" spans="1:4" ht="15">
      <c r="A63" s="297" t="s">
        <v>261</v>
      </c>
      <c r="B63" s="135"/>
      <c r="C63" s="199"/>
      <c r="D63" s="199">
        <v>2</v>
      </c>
    </row>
    <row r="64" spans="1:4" ht="15">
      <c r="A64" s="297" t="s">
        <v>268</v>
      </c>
      <c r="B64" s="135"/>
      <c r="C64" s="199"/>
      <c r="D64" s="199">
        <v>1.5</v>
      </c>
    </row>
    <row r="65" spans="1:4" ht="15">
      <c r="A65" s="297" t="s">
        <v>272</v>
      </c>
      <c r="B65" s="135"/>
      <c r="C65" s="199"/>
      <c r="D65" s="199">
        <v>2</v>
      </c>
    </row>
    <row r="66" spans="1:4" s="73" customFormat="1" ht="15">
      <c r="A66" s="297" t="s">
        <v>1690</v>
      </c>
      <c r="B66" s="91"/>
      <c r="C66" s="72" t="s">
        <v>243</v>
      </c>
      <c r="D66" s="72">
        <v>1.5</v>
      </c>
    </row>
    <row r="67" spans="1:4" s="73" customFormat="1" ht="15">
      <c r="A67" s="90" t="s">
        <v>657</v>
      </c>
      <c r="B67" s="91"/>
      <c r="C67" s="72" t="s">
        <v>243</v>
      </c>
      <c r="D67" s="72">
        <v>2</v>
      </c>
    </row>
    <row r="68" spans="1:4" s="73" customFormat="1" ht="28.5">
      <c r="A68" s="297" t="s">
        <v>1714</v>
      </c>
      <c r="B68" s="91"/>
      <c r="C68" s="72" t="s">
        <v>243</v>
      </c>
      <c r="D68" s="72">
        <v>1.5</v>
      </c>
    </row>
    <row r="69" spans="1:4" s="73" customFormat="1" ht="28.5">
      <c r="A69" s="297" t="s">
        <v>1715</v>
      </c>
      <c r="B69" s="91"/>
      <c r="C69" s="72" t="s">
        <v>243</v>
      </c>
      <c r="D69" s="72">
        <v>8</v>
      </c>
    </row>
    <row r="70" spans="1:4" s="73" customFormat="1" ht="28.5">
      <c r="A70" s="297" t="s">
        <v>1716</v>
      </c>
      <c r="B70" s="91"/>
      <c r="C70" s="72" t="s">
        <v>243</v>
      </c>
      <c r="D70" s="72">
        <v>2</v>
      </c>
    </row>
    <row r="71" spans="1:4" s="73" customFormat="1" ht="15">
      <c r="A71" s="297" t="s">
        <v>608</v>
      </c>
      <c r="B71" s="91"/>
      <c r="C71" s="72" t="s">
        <v>243</v>
      </c>
      <c r="D71" s="72">
        <v>2</v>
      </c>
    </row>
    <row r="72" spans="1:4" s="73" customFormat="1" ht="15">
      <c r="A72" s="297" t="s">
        <v>631</v>
      </c>
      <c r="B72" s="91"/>
      <c r="C72" s="72" t="s">
        <v>243</v>
      </c>
      <c r="D72" s="72">
        <v>2</v>
      </c>
    </row>
    <row r="73" spans="1:4" s="73" customFormat="1" ht="15">
      <c r="A73" s="297" t="s">
        <v>657</v>
      </c>
      <c r="B73" s="91"/>
      <c r="C73" s="72" t="s">
        <v>243</v>
      </c>
      <c r="D73" s="72">
        <v>2</v>
      </c>
    </row>
    <row r="74" spans="1:4" s="73" customFormat="1" ht="28.5">
      <c r="A74" s="297" t="s">
        <v>1725</v>
      </c>
      <c r="B74" s="91"/>
      <c r="C74" s="72" t="s">
        <v>243</v>
      </c>
      <c r="D74" s="72">
        <v>1</v>
      </c>
    </row>
    <row r="75" spans="1:4" s="73" customFormat="1" ht="28.5">
      <c r="A75" s="297" t="s">
        <v>1726</v>
      </c>
      <c r="B75" s="91"/>
      <c r="C75" s="72" t="s">
        <v>243</v>
      </c>
      <c r="D75" s="72">
        <v>2</v>
      </c>
    </row>
    <row r="76" spans="1:4" s="73" customFormat="1" ht="28.5">
      <c r="A76" s="297" t="s">
        <v>1727</v>
      </c>
      <c r="B76" s="91"/>
      <c r="C76" s="72" t="s">
        <v>243</v>
      </c>
      <c r="D76" s="72">
        <v>3</v>
      </c>
    </row>
    <row r="77" spans="1:4" s="73" customFormat="1" ht="28.5">
      <c r="A77" s="297" t="s">
        <v>1728</v>
      </c>
      <c r="B77" s="91"/>
      <c r="C77" s="72" t="s">
        <v>243</v>
      </c>
      <c r="D77" s="72">
        <v>1</v>
      </c>
    </row>
    <row r="78" spans="1:4" s="73" customFormat="1" ht="15">
      <c r="A78" s="297" t="s">
        <v>1702</v>
      </c>
      <c r="B78" s="91"/>
      <c r="C78" s="72" t="s">
        <v>243</v>
      </c>
      <c r="D78" s="72">
        <v>2</v>
      </c>
    </row>
    <row r="79" spans="1:4" s="73" customFormat="1" ht="15">
      <c r="A79" s="95" t="s">
        <v>631</v>
      </c>
      <c r="B79" s="70"/>
      <c r="C79" s="77" t="s">
        <v>243</v>
      </c>
      <c r="D79" s="77">
        <v>2</v>
      </c>
    </row>
    <row r="80" spans="1:4" ht="15">
      <c r="A80" s="95" t="s">
        <v>272</v>
      </c>
      <c r="B80" s="70"/>
      <c r="C80" s="77"/>
      <c r="D80" s="77">
        <v>2</v>
      </c>
    </row>
    <row r="81" spans="1:4" ht="15.75" thickBot="1">
      <c r="A81" s="395" t="s">
        <v>103</v>
      </c>
      <c r="B81" s="396"/>
      <c r="C81" s="77"/>
      <c r="D81" s="77"/>
    </row>
    <row r="82" spans="1:4" ht="15.75" thickBot="1">
      <c r="A82" s="397" t="s">
        <v>104</v>
      </c>
      <c r="B82" s="398"/>
      <c r="C82" s="77"/>
      <c r="D82" s="77"/>
    </row>
    <row r="83" spans="1:4" ht="15">
      <c r="A83" s="79"/>
      <c r="B83" s="79"/>
      <c r="C83" s="76"/>
      <c r="D83" s="76"/>
    </row>
    <row r="84" spans="1:4" ht="15.75">
      <c r="A84" s="394" t="s">
        <v>233</v>
      </c>
      <c r="B84" s="394"/>
      <c r="C84" s="394"/>
      <c r="D84" s="394"/>
    </row>
    <row r="85" spans="1:4" ht="15">
      <c r="A85" s="76"/>
      <c r="B85" s="76"/>
      <c r="C85" s="76"/>
      <c r="D85" s="76"/>
    </row>
    <row r="86" spans="1:4" ht="15.75">
      <c r="A86" s="394" t="s">
        <v>234</v>
      </c>
      <c r="B86" s="394"/>
      <c r="C86" s="394"/>
      <c r="D86" s="394"/>
    </row>
  </sheetData>
  <sheetProtection/>
  <mergeCells count="37">
    <mergeCell ref="A84:D84"/>
    <mergeCell ref="A86:D86"/>
    <mergeCell ref="A44:B44"/>
    <mergeCell ref="A54:B54"/>
    <mergeCell ref="A55:B55"/>
    <mergeCell ref="A56:B56"/>
    <mergeCell ref="A57:B57"/>
    <mergeCell ref="A58:B58"/>
    <mergeCell ref="A59:B59"/>
    <mergeCell ref="A81:B81"/>
    <mergeCell ref="A82:B82"/>
    <mergeCell ref="A46:B46"/>
    <mergeCell ref="A47:B47"/>
    <mergeCell ref="A51:B51"/>
    <mergeCell ref="A43:B43"/>
    <mergeCell ref="A14:B14"/>
    <mergeCell ref="A15:B15"/>
    <mergeCell ref="A18:B18"/>
    <mergeCell ref="A20:B20"/>
    <mergeCell ref="A21:B21"/>
    <mergeCell ref="A22:B22"/>
    <mergeCell ref="A23:B23"/>
    <mergeCell ref="A24:B24"/>
    <mergeCell ref="A39:B39"/>
    <mergeCell ref="A17:B17"/>
    <mergeCell ref="A13:B13"/>
    <mergeCell ref="A1:D1"/>
    <mergeCell ref="A2:D2"/>
    <mergeCell ref="A3:D3"/>
    <mergeCell ref="A5:B5"/>
    <mergeCell ref="A6:B6"/>
    <mergeCell ref="A7:B7"/>
    <mergeCell ref="A8:B8"/>
    <mergeCell ref="A9:B9"/>
    <mergeCell ref="A10:B10"/>
    <mergeCell ref="A11:B11"/>
    <mergeCell ref="A12:B12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D187"/>
  <sheetViews>
    <sheetView zoomScalePageLayoutView="0" workbookViewId="0" topLeftCell="A154">
      <selection activeCell="A174" sqref="A174:IV178"/>
    </sheetView>
  </sheetViews>
  <sheetFormatPr defaultColWidth="9.140625" defaultRowHeight="15"/>
  <cols>
    <col min="1" max="1" width="87.28125" style="0" customWidth="1"/>
    <col min="2" max="2" width="3.28125" style="0" hidden="1" customWidth="1"/>
    <col min="3" max="3" width="46.00390625" style="0" customWidth="1"/>
  </cols>
  <sheetData>
    <row r="1" spans="1:4" ht="15.75">
      <c r="A1" s="381" t="s">
        <v>959</v>
      </c>
      <c r="B1" s="381"/>
      <c r="C1" s="381"/>
      <c r="D1" s="381"/>
    </row>
    <row r="2" spans="1:4" ht="15.75">
      <c r="A2" s="382" t="s">
        <v>263</v>
      </c>
      <c r="B2" s="382"/>
      <c r="C2" s="382"/>
      <c r="D2" s="382"/>
    </row>
    <row r="3" spans="1:4" s="55" customFormat="1" ht="15.75">
      <c r="A3" s="382" t="s">
        <v>1729</v>
      </c>
      <c r="B3" s="382"/>
      <c r="C3" s="382"/>
      <c r="D3" s="382"/>
    </row>
    <row r="4" spans="1:4" s="55" customFormat="1" ht="15.75">
      <c r="A4" s="107"/>
      <c r="B4" s="107"/>
      <c r="C4" s="89"/>
      <c r="D4" s="89"/>
    </row>
    <row r="5" spans="1:4" ht="30">
      <c r="A5" s="383" t="s">
        <v>229</v>
      </c>
      <c r="B5" s="384"/>
      <c r="C5" s="86" t="s">
        <v>231</v>
      </c>
      <c r="D5" s="85" t="s">
        <v>530</v>
      </c>
    </row>
    <row r="6" spans="1:4" ht="15">
      <c r="A6" s="383" t="s">
        <v>229</v>
      </c>
      <c r="B6" s="384"/>
      <c r="C6" s="73"/>
      <c r="D6" s="73"/>
    </row>
    <row r="7" spans="1:4" ht="15.75" thickBot="1">
      <c r="A7" s="379" t="s">
        <v>0</v>
      </c>
      <c r="B7" s="380"/>
      <c r="C7" s="76"/>
      <c r="D7" s="76"/>
    </row>
    <row r="8" spans="1:4" ht="15">
      <c r="A8" s="435" t="s">
        <v>24</v>
      </c>
      <c r="B8" s="436"/>
      <c r="C8" s="77"/>
      <c r="D8" s="77"/>
    </row>
    <row r="9" spans="1:4" ht="15">
      <c r="A9" s="435" t="s">
        <v>236</v>
      </c>
      <c r="B9" s="436"/>
      <c r="C9" s="77"/>
      <c r="D9" s="77"/>
    </row>
    <row r="10" spans="1:4" ht="15.75" thickBot="1">
      <c r="A10" s="451" t="s">
        <v>28</v>
      </c>
      <c r="B10" s="445"/>
      <c r="C10" s="77"/>
      <c r="D10" s="77"/>
    </row>
    <row r="11" spans="1:4" ht="15.75" thickBot="1">
      <c r="A11" s="375" t="s">
        <v>29</v>
      </c>
      <c r="B11" s="376"/>
      <c r="C11" s="77"/>
      <c r="D11" s="77"/>
    </row>
    <row r="12" spans="1:4" ht="15">
      <c r="A12" s="433" t="s">
        <v>45</v>
      </c>
      <c r="B12" s="434"/>
      <c r="C12" s="77"/>
      <c r="D12" s="77"/>
    </row>
    <row r="13" spans="1:4" ht="15.75" thickBot="1">
      <c r="A13" s="72" t="s">
        <v>788</v>
      </c>
      <c r="B13" s="72"/>
      <c r="C13" s="72"/>
      <c r="D13" s="72">
        <v>136.71</v>
      </c>
    </row>
    <row r="14" spans="1:4" ht="15.75" thickBot="1">
      <c r="A14" s="377" t="s">
        <v>56</v>
      </c>
      <c r="B14" s="378"/>
      <c r="C14" s="77"/>
      <c r="D14" s="77"/>
    </row>
    <row r="15" spans="1:4" ht="15.75" thickBot="1">
      <c r="A15" s="529" t="s">
        <v>57</v>
      </c>
      <c r="B15" s="530"/>
      <c r="C15" s="81"/>
      <c r="D15" s="81"/>
    </row>
    <row r="16" spans="1:4" s="73" customFormat="1" ht="15.75" thickBot="1">
      <c r="A16" s="296" t="s">
        <v>1730</v>
      </c>
      <c r="B16" s="288"/>
      <c r="C16" s="72" t="s">
        <v>400</v>
      </c>
      <c r="D16" s="72">
        <f>1.15*130</f>
        <v>149.5</v>
      </c>
    </row>
    <row r="17" spans="1:4" s="73" customFormat="1" ht="15.75" thickBot="1">
      <c r="A17" s="296" t="s">
        <v>1731</v>
      </c>
      <c r="B17" s="288"/>
      <c r="C17" s="72" t="s">
        <v>360</v>
      </c>
      <c r="D17" s="72">
        <f>2*130</f>
        <v>260</v>
      </c>
    </row>
    <row r="18" spans="1:4" ht="15.75" thickBot="1">
      <c r="A18" s="193" t="s">
        <v>1743</v>
      </c>
      <c r="B18" s="306"/>
      <c r="C18" s="72" t="s">
        <v>342</v>
      </c>
      <c r="D18" s="72">
        <v>65</v>
      </c>
    </row>
    <row r="19" spans="1:4" ht="15">
      <c r="A19" s="399" t="s">
        <v>1773</v>
      </c>
      <c r="B19" s="400"/>
      <c r="C19" s="72" t="s">
        <v>1774</v>
      </c>
      <c r="D19" s="72">
        <f>4+2</f>
        <v>6</v>
      </c>
    </row>
    <row r="20" spans="1:4" ht="13.5" customHeight="1">
      <c r="A20" t="s">
        <v>1785</v>
      </c>
      <c r="C20" t="s">
        <v>1786</v>
      </c>
      <c r="D20">
        <v>14</v>
      </c>
    </row>
    <row r="21" spans="1:4" s="73" customFormat="1" ht="30" customHeight="1">
      <c r="A21" s="399" t="s">
        <v>1787</v>
      </c>
      <c r="B21" s="400"/>
      <c r="C21" s="105" t="s">
        <v>1788</v>
      </c>
      <c r="D21" s="72">
        <v>3</v>
      </c>
    </row>
    <row r="22" spans="1:4" s="73" customFormat="1" ht="15">
      <c r="A22" s="400" t="s">
        <v>1789</v>
      </c>
      <c r="B22" s="448"/>
      <c r="C22" s="72" t="s">
        <v>1790</v>
      </c>
      <c r="D22" s="72">
        <v>1</v>
      </c>
    </row>
    <row r="23" spans="1:4" s="73" customFormat="1" ht="15">
      <c r="A23" s="399" t="s">
        <v>474</v>
      </c>
      <c r="B23" s="400"/>
      <c r="C23" s="72" t="s">
        <v>401</v>
      </c>
      <c r="D23" s="72">
        <v>0.5</v>
      </c>
    </row>
    <row r="24" spans="1:4" s="73" customFormat="1" ht="15" customHeight="1">
      <c r="A24" s="400" t="s">
        <v>517</v>
      </c>
      <c r="B24" s="448"/>
      <c r="C24" s="72" t="s">
        <v>518</v>
      </c>
      <c r="D24" s="72">
        <v>1.7</v>
      </c>
    </row>
    <row r="25" spans="1:4" ht="13.5" customHeight="1">
      <c r="A25" s="72" t="s">
        <v>567</v>
      </c>
      <c r="B25" s="72"/>
      <c r="C25" s="72" t="s">
        <v>568</v>
      </c>
      <c r="D25" s="72">
        <v>14</v>
      </c>
    </row>
    <row r="26" spans="1:4" s="73" customFormat="1" ht="18" customHeight="1">
      <c r="A26" s="399" t="s">
        <v>600</v>
      </c>
      <c r="B26" s="400"/>
      <c r="C26" s="105" t="s">
        <v>342</v>
      </c>
      <c r="D26" s="72">
        <v>0.5</v>
      </c>
    </row>
    <row r="27" spans="1:4" s="73" customFormat="1" ht="15">
      <c r="A27" s="400" t="s">
        <v>620</v>
      </c>
      <c r="B27" s="448"/>
      <c r="C27" s="72" t="s">
        <v>463</v>
      </c>
      <c r="D27" s="72">
        <v>4</v>
      </c>
    </row>
    <row r="28" spans="1:4" s="73" customFormat="1" ht="13.5" customHeight="1">
      <c r="A28" s="72" t="s">
        <v>1810</v>
      </c>
      <c r="B28" s="72"/>
      <c r="C28" s="72" t="s">
        <v>955</v>
      </c>
      <c r="D28" s="72">
        <v>6</v>
      </c>
    </row>
    <row r="29" spans="1:4" s="73" customFormat="1" ht="18" customHeight="1">
      <c r="A29" s="399" t="s">
        <v>1820</v>
      </c>
      <c r="B29" s="400"/>
      <c r="C29" s="105" t="s">
        <v>695</v>
      </c>
      <c r="D29" s="72">
        <v>12</v>
      </c>
    </row>
    <row r="30" spans="1:4" s="73" customFormat="1" ht="15">
      <c r="A30" s="400" t="s">
        <v>1286</v>
      </c>
      <c r="B30" s="448"/>
      <c r="C30" s="72" t="s">
        <v>1287</v>
      </c>
      <c r="D30" s="72">
        <v>4.5</v>
      </c>
    </row>
    <row r="31" spans="1:4" s="94" customFormat="1" ht="18" customHeight="1">
      <c r="A31" s="403" t="s">
        <v>1828</v>
      </c>
      <c r="B31" s="404"/>
      <c r="C31" s="220" t="s">
        <v>328</v>
      </c>
      <c r="D31" s="199">
        <v>1.5</v>
      </c>
    </row>
    <row r="32" spans="1:4" s="73" customFormat="1" ht="12.75" customHeight="1">
      <c r="A32" s="400" t="s">
        <v>1829</v>
      </c>
      <c r="B32" s="448"/>
      <c r="C32" s="72" t="s">
        <v>1830</v>
      </c>
      <c r="D32" s="72">
        <v>1.5</v>
      </c>
    </row>
    <row r="33" spans="1:4" s="94" customFormat="1" ht="18" customHeight="1">
      <c r="A33" s="403" t="s">
        <v>1831</v>
      </c>
      <c r="B33" s="404"/>
      <c r="C33" s="220" t="s">
        <v>328</v>
      </c>
      <c r="D33" s="199">
        <v>1.5</v>
      </c>
    </row>
    <row r="34" spans="1:4" s="73" customFormat="1" ht="15">
      <c r="A34" s="400" t="s">
        <v>1832</v>
      </c>
      <c r="B34" s="448"/>
      <c r="C34" s="72" t="s">
        <v>1833</v>
      </c>
      <c r="D34" s="72">
        <v>3</v>
      </c>
    </row>
    <row r="35" spans="1:4" s="73" customFormat="1" ht="15.75" customHeight="1">
      <c r="A35" s="460" t="s">
        <v>1834</v>
      </c>
      <c r="B35" s="535"/>
      <c r="C35" s="72" t="s">
        <v>678</v>
      </c>
      <c r="D35" s="72">
        <v>2</v>
      </c>
    </row>
    <row r="36" spans="1:4" s="73" customFormat="1" ht="15">
      <c r="A36" s="193" t="s">
        <v>1835</v>
      </c>
      <c r="B36" s="193"/>
      <c r="C36" s="72" t="s">
        <v>378</v>
      </c>
      <c r="D36" s="72">
        <v>1.5</v>
      </c>
    </row>
    <row r="37" spans="1:4" s="73" customFormat="1" ht="18" customHeight="1">
      <c r="A37" s="399" t="s">
        <v>1828</v>
      </c>
      <c r="B37" s="400"/>
      <c r="C37" s="105" t="s">
        <v>279</v>
      </c>
      <c r="D37" s="72">
        <v>1</v>
      </c>
    </row>
    <row r="38" spans="1:4" s="73" customFormat="1" ht="15" customHeight="1">
      <c r="A38" s="436" t="s">
        <v>517</v>
      </c>
      <c r="B38" s="447"/>
      <c r="C38" s="77" t="s">
        <v>518</v>
      </c>
      <c r="D38" s="77">
        <v>1.7</v>
      </c>
    </row>
    <row r="39" spans="1:4" ht="15.75" customHeight="1" thickBot="1">
      <c r="A39" s="445" t="s">
        <v>63</v>
      </c>
      <c r="B39" s="446"/>
      <c r="C39" s="77"/>
      <c r="D39" s="77"/>
    </row>
    <row r="40" spans="1:4" ht="15.75" thickBot="1">
      <c r="A40" s="387" t="s">
        <v>64</v>
      </c>
      <c r="B40" s="377"/>
      <c r="C40" s="77"/>
      <c r="D40" s="77"/>
    </row>
    <row r="41" spans="1:4" ht="15">
      <c r="A41" s="388" t="s">
        <v>66</v>
      </c>
      <c r="B41" s="389"/>
      <c r="C41" s="77"/>
      <c r="D41" s="77"/>
    </row>
    <row r="42" spans="1:4" ht="15">
      <c r="A42" s="60" t="s">
        <v>68</v>
      </c>
      <c r="B42" s="61"/>
      <c r="C42" s="77"/>
      <c r="D42" s="77"/>
    </row>
    <row r="43" spans="1:4" ht="15" customHeight="1">
      <c r="A43" s="87" t="s">
        <v>1762</v>
      </c>
      <c r="B43" s="140"/>
      <c r="C43" s="181" t="s">
        <v>371</v>
      </c>
      <c r="D43" s="199">
        <f>13+4+6</f>
        <v>23</v>
      </c>
    </row>
    <row r="44" spans="1:4" ht="15" customHeight="1">
      <c r="A44" s="87" t="s">
        <v>1763</v>
      </c>
      <c r="B44" s="140"/>
      <c r="C44" s="181" t="s">
        <v>1764</v>
      </c>
      <c r="D44" s="199">
        <f>5.5+8+5.5</f>
        <v>19</v>
      </c>
    </row>
    <row r="45" spans="1:4" ht="15" customHeight="1">
      <c r="A45" s="87" t="s">
        <v>1765</v>
      </c>
      <c r="B45" s="140"/>
      <c r="C45" s="181" t="s">
        <v>328</v>
      </c>
      <c r="D45" s="199">
        <v>1</v>
      </c>
    </row>
    <row r="46" spans="1:4" ht="15">
      <c r="A46" s="202" t="s">
        <v>300</v>
      </c>
      <c r="B46" s="144"/>
      <c r="C46" s="181" t="s">
        <v>279</v>
      </c>
      <c r="D46" s="199">
        <v>2</v>
      </c>
    </row>
    <row r="47" spans="1:4" s="73" customFormat="1" ht="16.5" customHeight="1">
      <c r="A47" s="87" t="s">
        <v>1775</v>
      </c>
      <c r="B47" s="88"/>
      <c r="C47" s="105" t="s">
        <v>342</v>
      </c>
      <c r="D47" s="72">
        <v>1.5</v>
      </c>
    </row>
    <row r="48" spans="1:4" s="73" customFormat="1" ht="29.25" customHeight="1">
      <c r="A48" s="87" t="s">
        <v>1776</v>
      </c>
      <c r="B48" s="88"/>
      <c r="C48" s="105" t="s">
        <v>1777</v>
      </c>
      <c r="D48" s="72">
        <f>3+3+3</f>
        <v>9</v>
      </c>
    </row>
    <row r="49" spans="1:4" s="73" customFormat="1" ht="18.75" customHeight="1">
      <c r="A49" s="87" t="s">
        <v>1778</v>
      </c>
      <c r="B49" s="88"/>
      <c r="C49" s="105" t="s">
        <v>390</v>
      </c>
      <c r="D49" s="72">
        <v>1</v>
      </c>
    </row>
    <row r="50" spans="1:4" s="73" customFormat="1" ht="18.75" customHeight="1">
      <c r="A50" s="87" t="s">
        <v>1779</v>
      </c>
      <c r="B50" s="88"/>
      <c r="C50" s="105" t="s">
        <v>390</v>
      </c>
      <c r="D50" s="72">
        <v>2</v>
      </c>
    </row>
    <row r="51" spans="1:4" ht="30" customHeight="1">
      <c r="A51" s="87" t="s">
        <v>1780</v>
      </c>
      <c r="B51" s="88"/>
      <c r="C51" s="105" t="s">
        <v>394</v>
      </c>
      <c r="D51" s="72">
        <f>3.5+3.5</f>
        <v>7</v>
      </c>
    </row>
    <row r="52" spans="1:4" ht="15" customHeight="1">
      <c r="A52" s="87" t="s">
        <v>1781</v>
      </c>
      <c r="B52" s="88"/>
      <c r="C52" s="72" t="s">
        <v>360</v>
      </c>
      <c r="D52" s="72">
        <v>1.5</v>
      </c>
    </row>
    <row r="53" spans="1:4" ht="15">
      <c r="A53" s="399" t="s">
        <v>1791</v>
      </c>
      <c r="B53" s="400"/>
      <c r="C53" s="72" t="s">
        <v>436</v>
      </c>
      <c r="D53" s="72">
        <v>2</v>
      </c>
    </row>
    <row r="54" spans="1:4" s="73" customFormat="1" ht="15" customHeight="1">
      <c r="A54" s="87" t="s">
        <v>1792</v>
      </c>
      <c r="B54" s="88"/>
      <c r="C54" s="72" t="s">
        <v>279</v>
      </c>
      <c r="D54" s="72">
        <v>1.5</v>
      </c>
    </row>
    <row r="55" spans="1:4" s="73" customFormat="1" ht="15" customHeight="1">
      <c r="A55" s="87" t="s">
        <v>1793</v>
      </c>
      <c r="B55" s="88"/>
      <c r="C55" s="72" t="s">
        <v>1794</v>
      </c>
      <c r="D55" s="72">
        <v>3</v>
      </c>
    </row>
    <row r="56" spans="1:4" s="73" customFormat="1" ht="15" customHeight="1">
      <c r="A56" s="87" t="s">
        <v>720</v>
      </c>
      <c r="B56" s="88"/>
      <c r="C56" s="72" t="s">
        <v>721</v>
      </c>
      <c r="D56" s="72">
        <v>24</v>
      </c>
    </row>
    <row r="57" spans="1:4" s="73" customFormat="1" ht="15" customHeight="1">
      <c r="A57" s="87" t="s">
        <v>722</v>
      </c>
      <c r="B57" s="88"/>
      <c r="C57" s="72" t="s">
        <v>721</v>
      </c>
      <c r="D57" s="72">
        <v>24</v>
      </c>
    </row>
    <row r="58" spans="1:4" s="73" customFormat="1" ht="15" customHeight="1">
      <c r="A58" s="87" t="s">
        <v>728</v>
      </c>
      <c r="B58" s="88"/>
      <c r="C58" s="72" t="s">
        <v>729</v>
      </c>
      <c r="D58" s="72">
        <v>16</v>
      </c>
    </row>
    <row r="59" spans="1:4" s="73" customFormat="1" ht="15">
      <c r="A59" s="87" t="s">
        <v>771</v>
      </c>
      <c r="B59" s="88"/>
      <c r="C59" s="72" t="s">
        <v>772</v>
      </c>
      <c r="D59" s="72">
        <v>9</v>
      </c>
    </row>
    <row r="60" spans="1:4" s="73" customFormat="1" ht="15">
      <c r="A60" s="182" t="s">
        <v>773</v>
      </c>
      <c r="B60" s="93"/>
      <c r="C60" s="72" t="s">
        <v>784</v>
      </c>
      <c r="D60" s="72">
        <v>2</v>
      </c>
    </row>
    <row r="61" spans="1:4" s="73" customFormat="1" ht="15" customHeight="1">
      <c r="A61" s="87" t="s">
        <v>1811</v>
      </c>
      <c r="B61" s="88"/>
      <c r="C61" s="72" t="s">
        <v>592</v>
      </c>
      <c r="D61" s="72">
        <v>4</v>
      </c>
    </row>
    <row r="62" spans="1:4" s="73" customFormat="1" ht="15" customHeight="1">
      <c r="A62" s="87" t="s">
        <v>1812</v>
      </c>
      <c r="B62" s="88"/>
      <c r="C62" s="72" t="s">
        <v>1813</v>
      </c>
      <c r="D62" s="72">
        <v>24</v>
      </c>
    </row>
    <row r="63" spans="1:4" s="73" customFormat="1" ht="15" customHeight="1">
      <c r="A63" s="87" t="s">
        <v>1814</v>
      </c>
      <c r="B63" s="88"/>
      <c r="C63" s="72" t="s">
        <v>390</v>
      </c>
      <c r="D63" s="72">
        <v>1</v>
      </c>
    </row>
    <row r="64" spans="1:4" s="73" customFormat="1" ht="15">
      <c r="A64" s="87" t="s">
        <v>1815</v>
      </c>
      <c r="B64" s="88"/>
      <c r="C64" s="72" t="s">
        <v>1816</v>
      </c>
      <c r="D64" s="72">
        <v>16</v>
      </c>
    </row>
    <row r="65" spans="1:4" ht="15" customHeight="1">
      <c r="A65" s="66" t="s">
        <v>80</v>
      </c>
      <c r="B65" s="67"/>
      <c r="C65" s="77"/>
      <c r="D65" s="77"/>
    </row>
    <row r="66" spans="1:4" ht="15" customHeight="1">
      <c r="A66" s="64" t="s">
        <v>82</v>
      </c>
      <c r="B66" s="65"/>
      <c r="C66" s="77"/>
      <c r="D66" s="77"/>
    </row>
    <row r="67" spans="1:4" ht="15">
      <c r="A67" s="64" t="s">
        <v>300</v>
      </c>
      <c r="B67" s="65"/>
      <c r="C67" s="77" t="s">
        <v>279</v>
      </c>
      <c r="D67" s="77">
        <v>2</v>
      </c>
    </row>
    <row r="68" spans="1:4" ht="15" customHeight="1">
      <c r="A68" s="64" t="s">
        <v>86</v>
      </c>
      <c r="B68" s="65"/>
      <c r="C68" s="77"/>
      <c r="D68" s="77"/>
    </row>
    <row r="69" spans="1:4" ht="15" customHeight="1">
      <c r="A69" s="68" t="s">
        <v>88</v>
      </c>
      <c r="B69" s="69"/>
      <c r="C69" s="77"/>
      <c r="D69" s="77"/>
    </row>
    <row r="70" spans="1:4" ht="15">
      <c r="A70" s="390" t="s">
        <v>90</v>
      </c>
      <c r="B70" s="391"/>
      <c r="C70" s="77"/>
      <c r="D70" s="77"/>
    </row>
    <row r="71" spans="1:4" ht="15">
      <c r="A71" s="297" t="s">
        <v>1732</v>
      </c>
      <c r="B71" s="91"/>
      <c r="C71" s="72" t="s">
        <v>678</v>
      </c>
      <c r="D71" s="72">
        <f>4*2*130</f>
        <v>1040</v>
      </c>
    </row>
    <row r="72" spans="1:4" ht="15">
      <c r="A72" s="297" t="s">
        <v>1733</v>
      </c>
      <c r="B72" s="91"/>
      <c r="C72" s="72" t="s">
        <v>390</v>
      </c>
      <c r="D72" s="72">
        <v>130</v>
      </c>
    </row>
    <row r="73" spans="1:4" ht="15">
      <c r="A73" s="297" t="s">
        <v>1734</v>
      </c>
      <c r="B73" s="91"/>
      <c r="C73" s="72" t="s">
        <v>279</v>
      </c>
      <c r="D73" s="72">
        <f>1.22*130</f>
        <v>158.6</v>
      </c>
    </row>
    <row r="74" spans="1:4" ht="15">
      <c r="A74" s="297" t="s">
        <v>1735</v>
      </c>
      <c r="B74" s="91"/>
      <c r="C74" s="72" t="s">
        <v>390</v>
      </c>
      <c r="D74" s="72">
        <f>3*130</f>
        <v>390</v>
      </c>
    </row>
    <row r="75" spans="1:4" ht="15">
      <c r="A75" s="297" t="s">
        <v>1736</v>
      </c>
      <c r="B75" s="91"/>
      <c r="C75" s="72" t="s">
        <v>279</v>
      </c>
      <c r="D75" s="72">
        <f>130*0.5</f>
        <v>65</v>
      </c>
    </row>
    <row r="76" spans="1:4" ht="15">
      <c r="A76" s="297" t="s">
        <v>791</v>
      </c>
      <c r="B76" s="91"/>
      <c r="C76" s="72" t="s">
        <v>360</v>
      </c>
      <c r="D76" s="72">
        <f>0.4*130</f>
        <v>52</v>
      </c>
    </row>
    <row r="77" spans="1:4" ht="15">
      <c r="A77" s="297" t="s">
        <v>1737</v>
      </c>
      <c r="B77" s="91"/>
      <c r="C77" s="72" t="s">
        <v>279</v>
      </c>
      <c r="D77" s="72">
        <f>130*0.5</f>
        <v>65</v>
      </c>
    </row>
    <row r="78" spans="1:4" ht="15">
      <c r="A78" s="297" t="s">
        <v>1744</v>
      </c>
      <c r="B78" s="91"/>
      <c r="C78" s="72" t="s">
        <v>1745</v>
      </c>
      <c r="D78" s="72">
        <v>260</v>
      </c>
    </row>
    <row r="79" spans="1:4" ht="15">
      <c r="A79" s="297" t="s">
        <v>1746</v>
      </c>
      <c r="B79" s="91"/>
      <c r="C79" s="72" t="s">
        <v>360</v>
      </c>
      <c r="D79" s="72">
        <f>130*1.5</f>
        <v>195</v>
      </c>
    </row>
    <row r="80" spans="1:4" ht="15">
      <c r="A80" s="297" t="s">
        <v>1747</v>
      </c>
      <c r="B80" s="91"/>
      <c r="C80" s="105" t="s">
        <v>1748</v>
      </c>
      <c r="D80" s="72">
        <f>2*130*1.5+130*8+130</f>
        <v>1560</v>
      </c>
    </row>
    <row r="81" spans="1:4" ht="15">
      <c r="A81" s="297" t="s">
        <v>1749</v>
      </c>
      <c r="B81" s="91"/>
      <c r="C81" s="72" t="s">
        <v>279</v>
      </c>
      <c r="D81" s="72">
        <f>130*4</f>
        <v>520</v>
      </c>
    </row>
    <row r="82" spans="1:4" ht="15">
      <c r="A82" s="297" t="s">
        <v>1750</v>
      </c>
      <c r="B82" s="91"/>
      <c r="C82" s="72" t="s">
        <v>279</v>
      </c>
      <c r="D82" s="72">
        <f>130*2</f>
        <v>260</v>
      </c>
    </row>
    <row r="83" spans="1:4" ht="15">
      <c r="A83" s="297" t="s">
        <v>1751</v>
      </c>
      <c r="B83" s="91"/>
      <c r="C83" s="72" t="s">
        <v>279</v>
      </c>
      <c r="D83" s="72">
        <v>260</v>
      </c>
    </row>
    <row r="84" spans="1:4" ht="15">
      <c r="A84" s="297" t="s">
        <v>1752</v>
      </c>
      <c r="B84" s="91"/>
      <c r="C84" s="72" t="s">
        <v>613</v>
      </c>
      <c r="D84" s="72">
        <f>2*130*2</f>
        <v>520</v>
      </c>
    </row>
    <row r="85" spans="1:4" ht="15">
      <c r="A85" s="297" t="s">
        <v>1753</v>
      </c>
      <c r="B85" s="91"/>
      <c r="C85" s="72" t="s">
        <v>279</v>
      </c>
      <c r="D85" s="72">
        <f>1.5*130</f>
        <v>195</v>
      </c>
    </row>
    <row r="86" spans="1:4" ht="15">
      <c r="A86" s="186" t="s">
        <v>1754</v>
      </c>
      <c r="B86" s="91"/>
      <c r="C86" s="72" t="s">
        <v>1192</v>
      </c>
      <c r="D86" s="72">
        <v>260</v>
      </c>
    </row>
    <row r="87" spans="1:4" ht="15">
      <c r="A87" s="297" t="s">
        <v>1755</v>
      </c>
      <c r="B87" s="91"/>
      <c r="C87" s="72" t="s">
        <v>370</v>
      </c>
      <c r="D87" s="72">
        <v>130</v>
      </c>
    </row>
    <row r="88" spans="1:4" ht="15">
      <c r="A88" s="297" t="s">
        <v>1756</v>
      </c>
      <c r="B88" s="91"/>
      <c r="C88" s="105" t="s">
        <v>1757</v>
      </c>
      <c r="D88" s="72">
        <f>130*2*3</f>
        <v>780</v>
      </c>
    </row>
    <row r="89" spans="1:4" ht="15" customHeight="1">
      <c r="A89" s="401" t="s">
        <v>1766</v>
      </c>
      <c r="B89" s="402"/>
      <c r="C89" s="181" t="s">
        <v>279</v>
      </c>
      <c r="D89" s="199">
        <v>0.5</v>
      </c>
    </row>
    <row r="90" spans="1:4" ht="15" customHeight="1">
      <c r="A90" s="287" t="s">
        <v>1767</v>
      </c>
      <c r="B90" s="289"/>
      <c r="C90" s="181" t="s">
        <v>279</v>
      </c>
      <c r="D90" s="199">
        <v>1</v>
      </c>
    </row>
    <row r="91" spans="1:4" s="73" customFormat="1" ht="30" customHeight="1">
      <c r="A91" s="401" t="s">
        <v>1782</v>
      </c>
      <c r="B91" s="402"/>
      <c r="C91" s="105" t="s">
        <v>714</v>
      </c>
      <c r="D91" s="72">
        <f>2+2</f>
        <v>4</v>
      </c>
    </row>
    <row r="92" spans="1:4" s="73" customFormat="1" ht="15" customHeight="1">
      <c r="A92" s="401" t="s">
        <v>1795</v>
      </c>
      <c r="B92" s="402"/>
      <c r="C92" s="72" t="s">
        <v>1157</v>
      </c>
      <c r="D92" s="111">
        <f>40/60</f>
        <v>0.6666666666666666</v>
      </c>
    </row>
    <row r="93" spans="1:4" s="73" customFormat="1" ht="15" customHeight="1">
      <c r="A93" s="287" t="s">
        <v>1796</v>
      </c>
      <c r="B93" s="289"/>
      <c r="C93" s="72" t="s">
        <v>400</v>
      </c>
      <c r="D93" s="72">
        <v>1.5</v>
      </c>
    </row>
    <row r="94" spans="1:4" s="73" customFormat="1" ht="33" customHeight="1">
      <c r="A94" s="402" t="s">
        <v>1797</v>
      </c>
      <c r="B94" s="413"/>
      <c r="C94" s="72" t="s">
        <v>468</v>
      </c>
      <c r="D94" s="72">
        <v>0.8</v>
      </c>
    </row>
    <row r="95" spans="1:4" s="73" customFormat="1" ht="15">
      <c r="A95" s="402" t="s">
        <v>494</v>
      </c>
      <c r="B95" s="413"/>
      <c r="C95" s="72" t="s">
        <v>463</v>
      </c>
      <c r="D95" s="72">
        <v>3</v>
      </c>
    </row>
    <row r="96" spans="1:4" s="73" customFormat="1" ht="15" customHeight="1">
      <c r="A96" s="87" t="s">
        <v>593</v>
      </c>
      <c r="B96" s="88"/>
      <c r="C96" s="72" t="s">
        <v>358</v>
      </c>
      <c r="D96" s="72">
        <v>3</v>
      </c>
    </row>
    <row r="97" spans="1:4" s="73" customFormat="1" ht="15" customHeight="1">
      <c r="A97" s="87" t="s">
        <v>1805</v>
      </c>
      <c r="B97" s="88"/>
      <c r="C97" s="72" t="s">
        <v>553</v>
      </c>
      <c r="D97" s="72">
        <f>2.5*2</f>
        <v>5</v>
      </c>
    </row>
    <row r="98" spans="1:4" s="73" customFormat="1" ht="31.5" customHeight="1">
      <c r="A98" s="401" t="s">
        <v>1806</v>
      </c>
      <c r="B98" s="402"/>
      <c r="C98" s="72" t="s">
        <v>279</v>
      </c>
      <c r="D98" s="72">
        <v>1</v>
      </c>
    </row>
    <row r="99" spans="1:4" s="73" customFormat="1" ht="17.25" customHeight="1">
      <c r="A99" s="401" t="s">
        <v>662</v>
      </c>
      <c r="B99" s="402"/>
      <c r="C99" s="72" t="s">
        <v>663</v>
      </c>
      <c r="D99" s="72">
        <v>16</v>
      </c>
    </row>
    <row r="100" spans="1:4" s="73" customFormat="1" ht="15" customHeight="1">
      <c r="A100" s="125" t="s">
        <v>677</v>
      </c>
      <c r="B100" s="126"/>
      <c r="C100" s="72" t="s">
        <v>678</v>
      </c>
      <c r="D100" s="72">
        <v>8</v>
      </c>
    </row>
    <row r="101" spans="1:4" s="73" customFormat="1" ht="15.75" customHeight="1">
      <c r="A101" s="402" t="s">
        <v>692</v>
      </c>
      <c r="B101" s="413"/>
      <c r="C101" s="72" t="s">
        <v>693</v>
      </c>
      <c r="D101" s="72">
        <v>16</v>
      </c>
    </row>
    <row r="102" spans="1:4" s="73" customFormat="1" ht="17.25" customHeight="1">
      <c r="A102" s="401" t="s">
        <v>1817</v>
      </c>
      <c r="B102" s="402"/>
      <c r="C102" s="72" t="s">
        <v>390</v>
      </c>
      <c r="D102" s="72">
        <v>1</v>
      </c>
    </row>
    <row r="103" spans="1:4" s="73" customFormat="1" ht="17.25" customHeight="1">
      <c r="A103" s="401" t="s">
        <v>1821</v>
      </c>
      <c r="B103" s="402"/>
      <c r="C103" s="72" t="s">
        <v>1822</v>
      </c>
      <c r="D103" s="72">
        <v>1</v>
      </c>
    </row>
    <row r="104" spans="1:4" s="73" customFormat="1" ht="15" customHeight="1">
      <c r="A104" s="287" t="s">
        <v>1823</v>
      </c>
      <c r="B104" s="289"/>
      <c r="C104" s="72" t="s">
        <v>1822</v>
      </c>
      <c r="D104" s="72">
        <v>2</v>
      </c>
    </row>
    <row r="105" spans="1:4" s="73" customFormat="1" ht="15.75" customHeight="1">
      <c r="A105" s="402" t="s">
        <v>1824</v>
      </c>
      <c r="B105" s="413"/>
      <c r="C105" s="72" t="s">
        <v>1493</v>
      </c>
      <c r="D105" s="72">
        <v>12</v>
      </c>
    </row>
    <row r="106" spans="1:4" s="73" customFormat="1" ht="15">
      <c r="A106" s="402" t="s">
        <v>1825</v>
      </c>
      <c r="B106" s="413"/>
      <c r="C106" s="72" t="s">
        <v>497</v>
      </c>
      <c r="D106" s="72">
        <v>8</v>
      </c>
    </row>
    <row r="107" spans="1:4" s="73" customFormat="1" ht="15" customHeight="1">
      <c r="A107" s="87" t="s">
        <v>900</v>
      </c>
      <c r="B107" s="88"/>
      <c r="C107" s="72" t="s">
        <v>328</v>
      </c>
      <c r="D107" s="72">
        <v>2</v>
      </c>
    </row>
    <row r="108" spans="1:4" s="73" customFormat="1" ht="15" customHeight="1">
      <c r="A108" s="287" t="s">
        <v>1836</v>
      </c>
      <c r="B108" s="289"/>
      <c r="C108" s="72" t="s">
        <v>950</v>
      </c>
      <c r="D108" s="72">
        <v>6</v>
      </c>
    </row>
    <row r="109" spans="1:4" s="73" customFormat="1" ht="15.75" customHeight="1">
      <c r="A109" s="402" t="s">
        <v>1837</v>
      </c>
      <c r="B109" s="413"/>
      <c r="C109" s="72" t="s">
        <v>499</v>
      </c>
      <c r="D109" s="72">
        <v>6</v>
      </c>
    </row>
    <row r="110" spans="1:4" s="73" customFormat="1" ht="33" customHeight="1">
      <c r="A110" s="292" t="s">
        <v>905</v>
      </c>
      <c r="B110" s="293"/>
      <c r="C110" s="105" t="s">
        <v>906</v>
      </c>
      <c r="D110" s="72">
        <v>1.2</v>
      </c>
    </row>
    <row r="111" spans="1:4" s="73" customFormat="1" ht="15.75" customHeight="1">
      <c r="A111" s="292" t="s">
        <v>1838</v>
      </c>
      <c r="B111" s="293"/>
      <c r="C111" s="105" t="s">
        <v>1136</v>
      </c>
      <c r="D111" s="72">
        <v>6</v>
      </c>
    </row>
    <row r="112" spans="1:4" s="73" customFormat="1" ht="15">
      <c r="A112" s="402" t="s">
        <v>907</v>
      </c>
      <c r="B112" s="413"/>
      <c r="C112" s="72" t="s">
        <v>908</v>
      </c>
      <c r="D112" s="72">
        <v>2.25</v>
      </c>
    </row>
    <row r="113" spans="1:4" s="73" customFormat="1" ht="15">
      <c r="A113" s="292" t="s">
        <v>1839</v>
      </c>
      <c r="B113" s="293"/>
      <c r="C113" s="72" t="s">
        <v>328</v>
      </c>
      <c r="D113" s="72">
        <v>1</v>
      </c>
    </row>
    <row r="114" spans="1:4" s="73" customFormat="1" ht="15" customHeight="1">
      <c r="A114" s="87" t="s">
        <v>1844</v>
      </c>
      <c r="B114" s="88"/>
      <c r="C114" s="72" t="s">
        <v>279</v>
      </c>
      <c r="D114" s="72">
        <v>2</v>
      </c>
    </row>
    <row r="115" spans="1:4" s="73" customFormat="1" ht="18" customHeight="1">
      <c r="A115" s="287" t="s">
        <v>1089</v>
      </c>
      <c r="B115" s="289"/>
      <c r="C115" s="72" t="s">
        <v>1090</v>
      </c>
      <c r="D115" s="72">
        <v>1.5</v>
      </c>
    </row>
    <row r="116" spans="1:4" s="73" customFormat="1" ht="18.75" customHeight="1">
      <c r="A116" s="292" t="s">
        <v>1310</v>
      </c>
      <c r="B116" s="293"/>
      <c r="C116" s="105" t="s">
        <v>1311</v>
      </c>
      <c r="D116" s="72">
        <v>3.4</v>
      </c>
    </row>
    <row r="117" spans="1:4" s="73" customFormat="1" ht="18" customHeight="1">
      <c r="A117" s="292" t="s">
        <v>1845</v>
      </c>
      <c r="B117" s="293"/>
      <c r="C117" s="105" t="s">
        <v>1367</v>
      </c>
      <c r="D117" s="72">
        <v>6</v>
      </c>
    </row>
    <row r="118" spans="1:4" s="73" customFormat="1" ht="30" customHeight="1">
      <c r="A118" s="292" t="s">
        <v>1846</v>
      </c>
      <c r="B118" s="293"/>
      <c r="C118" s="105" t="s">
        <v>1136</v>
      </c>
      <c r="D118" s="72">
        <v>6</v>
      </c>
    </row>
    <row r="119" spans="1:4" s="73" customFormat="1" ht="27.75" customHeight="1">
      <c r="A119" s="402" t="s">
        <v>1847</v>
      </c>
      <c r="B119" s="413"/>
      <c r="C119" s="72" t="s">
        <v>678</v>
      </c>
      <c r="D119" s="72">
        <v>2</v>
      </c>
    </row>
    <row r="120" spans="1:4" s="73" customFormat="1" ht="18" customHeight="1">
      <c r="A120" s="292" t="s">
        <v>1848</v>
      </c>
      <c r="B120" s="293"/>
      <c r="C120" s="72" t="s">
        <v>400</v>
      </c>
      <c r="D120" s="72">
        <v>1</v>
      </c>
    </row>
    <row r="121" spans="1:4" s="73" customFormat="1" ht="15">
      <c r="A121" s="105" t="s">
        <v>1849</v>
      </c>
      <c r="B121" s="72"/>
      <c r="C121" s="72" t="s">
        <v>613</v>
      </c>
      <c r="D121" s="72">
        <v>2</v>
      </c>
    </row>
    <row r="122" spans="1:4" s="73" customFormat="1" ht="15">
      <c r="A122" s="307" t="s">
        <v>1850</v>
      </c>
      <c r="B122" s="308"/>
      <c r="C122" s="72" t="s">
        <v>577</v>
      </c>
      <c r="D122" s="72">
        <v>16</v>
      </c>
    </row>
    <row r="123" spans="1:4" s="73" customFormat="1" ht="15">
      <c r="A123" s="307" t="s">
        <v>1851</v>
      </c>
      <c r="B123" s="308"/>
      <c r="C123" s="72" t="s">
        <v>577</v>
      </c>
      <c r="D123" s="72">
        <v>4</v>
      </c>
    </row>
    <row r="124" spans="1:4" s="73" customFormat="1" ht="15">
      <c r="A124" s="307" t="s">
        <v>1852</v>
      </c>
      <c r="B124" s="308"/>
      <c r="C124" s="72" t="s">
        <v>577</v>
      </c>
      <c r="D124" s="72">
        <v>2</v>
      </c>
    </row>
    <row r="125" spans="1:4" s="73" customFormat="1" ht="15">
      <c r="A125" s="307" t="s">
        <v>1853</v>
      </c>
      <c r="B125" s="308"/>
      <c r="C125" s="72" t="s">
        <v>1854</v>
      </c>
      <c r="D125" s="72">
        <f>5.5+8+8+6</f>
        <v>27.5</v>
      </c>
    </row>
    <row r="126" spans="1:4" s="73" customFormat="1" ht="15">
      <c r="A126" s="437" t="s">
        <v>494</v>
      </c>
      <c r="B126" s="438"/>
      <c r="C126" s="77" t="s">
        <v>463</v>
      </c>
      <c r="D126" s="77">
        <v>3</v>
      </c>
    </row>
    <row r="127" spans="1:4" ht="15.75" customHeight="1" thickBot="1">
      <c r="A127" s="439" t="s">
        <v>98</v>
      </c>
      <c r="B127" s="440"/>
      <c r="C127" s="77"/>
      <c r="D127" s="77"/>
    </row>
    <row r="128" spans="1:4" ht="15.75" thickBot="1">
      <c r="A128" s="377" t="s">
        <v>99</v>
      </c>
      <c r="B128" s="378"/>
      <c r="C128" s="77"/>
      <c r="D128" s="77"/>
    </row>
    <row r="129" spans="1:4" ht="30.75" customHeight="1" thickBot="1">
      <c r="A129" s="501" t="s">
        <v>307</v>
      </c>
      <c r="B129" s="502"/>
      <c r="C129" s="78" t="s">
        <v>420</v>
      </c>
      <c r="D129" s="80" t="s">
        <v>421</v>
      </c>
    </row>
    <row r="130" spans="1:4" ht="15.75" thickBot="1">
      <c r="A130" s="377" t="s">
        <v>101</v>
      </c>
      <c r="B130" s="378"/>
      <c r="C130" s="77"/>
      <c r="D130" s="77"/>
    </row>
    <row r="131" spans="1:4" ht="15.75" thickBot="1">
      <c r="A131" s="443" t="s">
        <v>102</v>
      </c>
      <c r="B131" s="375"/>
      <c r="C131" s="77" t="s">
        <v>243</v>
      </c>
      <c r="D131" s="77"/>
    </row>
    <row r="132" spans="1:4" ht="15">
      <c r="A132" s="297" t="s">
        <v>1738</v>
      </c>
      <c r="B132" s="295"/>
      <c r="C132" s="72" t="s">
        <v>243</v>
      </c>
      <c r="D132" s="72">
        <f>2.5*130</f>
        <v>325</v>
      </c>
    </row>
    <row r="133" spans="1:4" ht="15">
      <c r="A133" s="304" t="s">
        <v>1739</v>
      </c>
      <c r="B133" s="295"/>
      <c r="C133" s="72" t="s">
        <v>243</v>
      </c>
      <c r="D133" s="72">
        <f>0.4*130</f>
        <v>52</v>
      </c>
    </row>
    <row r="134" spans="1:4" ht="15">
      <c r="A134" s="297" t="s">
        <v>1740</v>
      </c>
      <c r="B134" s="295"/>
      <c r="C134" s="72" t="s">
        <v>243</v>
      </c>
      <c r="D134" s="72">
        <v>130</v>
      </c>
    </row>
    <row r="135" spans="1:4" ht="15.75" thickBot="1">
      <c r="A135" s="297" t="s">
        <v>1741</v>
      </c>
      <c r="B135" s="295"/>
      <c r="C135" s="72" t="s">
        <v>243</v>
      </c>
      <c r="D135" s="72">
        <f>2*130</f>
        <v>260</v>
      </c>
    </row>
    <row r="136" spans="1:4" ht="15">
      <c r="A136" s="525" t="s">
        <v>1742</v>
      </c>
      <c r="B136" s="526"/>
      <c r="C136" s="72"/>
      <c r="D136" s="72">
        <f>479.5+130*3</f>
        <v>869.5</v>
      </c>
    </row>
    <row r="137" spans="1:4" ht="15">
      <c r="A137" s="297" t="s">
        <v>1758</v>
      </c>
      <c r="B137" s="295"/>
      <c r="C137" s="72" t="s">
        <v>243</v>
      </c>
      <c r="D137" s="72">
        <v>130</v>
      </c>
    </row>
    <row r="138" spans="1:4" ht="15">
      <c r="A138" s="297" t="s">
        <v>1759</v>
      </c>
      <c r="B138" s="91"/>
      <c r="C138" s="72" t="s">
        <v>243</v>
      </c>
      <c r="D138" s="72">
        <f>130</f>
        <v>130</v>
      </c>
    </row>
    <row r="139" spans="1:4" ht="15">
      <c r="A139" s="297" t="s">
        <v>1760</v>
      </c>
      <c r="B139" s="295"/>
      <c r="C139" s="72" t="s">
        <v>243</v>
      </c>
      <c r="D139" s="72">
        <v>130</v>
      </c>
    </row>
    <row r="140" spans="1:4" ht="28.5">
      <c r="A140" s="297" t="s">
        <v>1761</v>
      </c>
      <c r="B140" s="295"/>
      <c r="C140" s="72" t="s">
        <v>243</v>
      </c>
      <c r="D140" s="72">
        <v>260</v>
      </c>
    </row>
    <row r="141" spans="1:4" ht="15">
      <c r="A141" s="297" t="s">
        <v>1768</v>
      </c>
      <c r="B141" s="135"/>
      <c r="C141" s="199"/>
      <c r="D141" s="199">
        <v>1</v>
      </c>
    </row>
    <row r="142" spans="1:4" ht="15">
      <c r="A142" s="297" t="s">
        <v>1769</v>
      </c>
      <c r="B142" s="135"/>
      <c r="C142" s="199"/>
      <c r="D142" s="199">
        <v>0.3</v>
      </c>
    </row>
    <row r="143" spans="1:4" ht="15">
      <c r="A143" s="297" t="s">
        <v>1593</v>
      </c>
      <c r="B143" s="135"/>
      <c r="C143" s="199"/>
      <c r="D143" s="199">
        <v>1</v>
      </c>
    </row>
    <row r="144" spans="1:4" ht="15">
      <c r="A144" s="297" t="s">
        <v>1770</v>
      </c>
      <c r="B144" s="135"/>
      <c r="C144" s="199"/>
      <c r="D144" s="199">
        <v>1.5</v>
      </c>
    </row>
    <row r="145" spans="1:4" ht="15">
      <c r="A145" s="297" t="s">
        <v>1771</v>
      </c>
      <c r="B145" s="135"/>
      <c r="C145" s="199"/>
      <c r="D145" s="199">
        <v>4</v>
      </c>
    </row>
    <row r="146" spans="1:4" ht="15">
      <c r="A146" s="297" t="s">
        <v>1772</v>
      </c>
      <c r="B146" s="135"/>
      <c r="C146" s="199"/>
      <c r="D146" s="199">
        <v>1</v>
      </c>
    </row>
    <row r="147" spans="1:4" s="73" customFormat="1" ht="15">
      <c r="A147" s="297" t="s">
        <v>1783</v>
      </c>
      <c r="B147" s="91"/>
      <c r="C147" s="72" t="s">
        <v>243</v>
      </c>
      <c r="D147" s="72">
        <v>2</v>
      </c>
    </row>
    <row r="148" spans="1:4" s="73" customFormat="1" ht="15">
      <c r="A148" s="297" t="s">
        <v>1784</v>
      </c>
      <c r="B148" s="91"/>
      <c r="C148" s="72" t="s">
        <v>243</v>
      </c>
      <c r="D148" s="72">
        <v>1</v>
      </c>
    </row>
    <row r="149" spans="1:4" s="73" customFormat="1" ht="15">
      <c r="A149" s="297" t="s">
        <v>1798</v>
      </c>
      <c r="B149" s="91"/>
      <c r="C149" s="72" t="s">
        <v>243</v>
      </c>
      <c r="D149" s="72">
        <v>2</v>
      </c>
    </row>
    <row r="150" spans="1:4" s="73" customFormat="1" ht="30">
      <c r="A150" s="297" t="s">
        <v>1799</v>
      </c>
      <c r="B150" s="91"/>
      <c r="C150" s="105" t="s">
        <v>1800</v>
      </c>
      <c r="D150" s="174" t="s">
        <v>1801</v>
      </c>
    </row>
    <row r="151" spans="1:4" s="73" customFormat="1" ht="15">
      <c r="A151" s="297" t="s">
        <v>1802</v>
      </c>
      <c r="B151" s="91"/>
      <c r="C151" s="72" t="s">
        <v>243</v>
      </c>
      <c r="D151" s="187">
        <v>1</v>
      </c>
    </row>
    <row r="152" spans="1:4" s="73" customFormat="1" ht="15">
      <c r="A152" s="297" t="s">
        <v>1803</v>
      </c>
      <c r="B152" s="91"/>
      <c r="C152" s="72" t="s">
        <v>243</v>
      </c>
      <c r="D152" s="72">
        <v>1.5</v>
      </c>
    </row>
    <row r="153" spans="1:4" s="73" customFormat="1" ht="15">
      <c r="A153" s="297" t="s">
        <v>1804</v>
      </c>
      <c r="B153" s="91"/>
      <c r="C153" s="72" t="s">
        <v>243</v>
      </c>
      <c r="D153" s="72">
        <v>0.5</v>
      </c>
    </row>
    <row r="154" spans="1:4" s="73" customFormat="1" ht="15">
      <c r="A154" s="297" t="s">
        <v>507</v>
      </c>
      <c r="B154" s="91"/>
      <c r="C154" s="72" t="s">
        <v>243</v>
      </c>
      <c r="D154" s="72">
        <v>1</v>
      </c>
    </row>
    <row r="155" spans="1:4" s="73" customFormat="1" ht="15">
      <c r="A155" s="536" t="s">
        <v>508</v>
      </c>
      <c r="B155" s="537"/>
      <c r="C155" s="72" t="s">
        <v>243</v>
      </c>
      <c r="D155" s="72">
        <v>1.5</v>
      </c>
    </row>
    <row r="156" spans="1:4" s="73" customFormat="1" ht="15">
      <c r="A156" s="297" t="s">
        <v>510</v>
      </c>
      <c r="B156" s="91"/>
      <c r="C156" s="72" t="s">
        <v>243</v>
      </c>
      <c r="D156" s="72">
        <v>3</v>
      </c>
    </row>
    <row r="157" spans="1:4" s="73" customFormat="1" ht="15">
      <c r="A157" s="297" t="s">
        <v>1807</v>
      </c>
      <c r="B157" s="91"/>
      <c r="C157" s="72" t="s">
        <v>243</v>
      </c>
      <c r="D157" s="72">
        <v>2</v>
      </c>
    </row>
    <row r="158" spans="1:4" s="73" customFormat="1" ht="15">
      <c r="A158" s="297" t="s">
        <v>1808</v>
      </c>
      <c r="B158" s="91"/>
      <c r="C158" s="105" t="s">
        <v>243</v>
      </c>
      <c r="D158" s="174">
        <v>1</v>
      </c>
    </row>
    <row r="159" spans="1:4" s="73" customFormat="1" ht="15">
      <c r="A159" s="297" t="s">
        <v>1809</v>
      </c>
      <c r="B159" s="91"/>
      <c r="C159" s="72" t="s">
        <v>243</v>
      </c>
      <c r="D159" s="187">
        <v>1</v>
      </c>
    </row>
    <row r="160" spans="1:4" s="73" customFormat="1" ht="15">
      <c r="A160" s="297" t="s">
        <v>628</v>
      </c>
      <c r="B160" s="91"/>
      <c r="C160" s="72" t="s">
        <v>243</v>
      </c>
      <c r="D160" s="72">
        <v>1</v>
      </c>
    </row>
    <row r="161" spans="1:4" s="73" customFormat="1" ht="15">
      <c r="A161" s="297" t="s">
        <v>630</v>
      </c>
      <c r="B161" s="91"/>
      <c r="C161" s="72" t="s">
        <v>243</v>
      </c>
      <c r="D161" s="72">
        <v>1.5</v>
      </c>
    </row>
    <row r="162" spans="1:4" s="73" customFormat="1" ht="15">
      <c r="A162" s="158" t="s">
        <v>691</v>
      </c>
      <c r="B162" s="116"/>
      <c r="C162" s="72" t="s">
        <v>431</v>
      </c>
      <c r="D162" s="72">
        <v>8</v>
      </c>
    </row>
    <row r="163" spans="1:4" s="73" customFormat="1" ht="15">
      <c r="A163" s="90" t="s">
        <v>688</v>
      </c>
      <c r="B163" s="91"/>
      <c r="C163" s="72" t="s">
        <v>243</v>
      </c>
      <c r="D163" s="72">
        <v>8</v>
      </c>
    </row>
    <row r="164" spans="1:4" s="73" customFormat="1" ht="15">
      <c r="A164" s="90" t="s">
        <v>708</v>
      </c>
      <c r="B164" s="91"/>
      <c r="C164" s="105" t="s">
        <v>243</v>
      </c>
      <c r="D164" s="174">
        <v>8</v>
      </c>
    </row>
    <row r="165" spans="1:4" s="73" customFormat="1" ht="15">
      <c r="A165" s="90" t="s">
        <v>782</v>
      </c>
      <c r="B165" s="91"/>
      <c r="C165" s="72" t="s">
        <v>243</v>
      </c>
      <c r="D165" s="187">
        <v>2</v>
      </c>
    </row>
    <row r="166" spans="1:4" s="73" customFormat="1" ht="15">
      <c r="A166" s="287" t="s">
        <v>1818</v>
      </c>
      <c r="B166" s="116"/>
      <c r="C166" s="72" t="s">
        <v>243</v>
      </c>
      <c r="D166" s="72">
        <v>1</v>
      </c>
    </row>
    <row r="167" spans="1:4" s="73" customFormat="1" ht="15">
      <c r="A167" s="297" t="s">
        <v>1819</v>
      </c>
      <c r="B167" s="91"/>
      <c r="C167" s="72" t="s">
        <v>243</v>
      </c>
      <c r="D167" s="72">
        <v>1.5</v>
      </c>
    </row>
    <row r="168" spans="1:4" s="73" customFormat="1" ht="15">
      <c r="A168" s="287" t="s">
        <v>1826</v>
      </c>
      <c r="B168" s="116"/>
      <c r="C168" s="72" t="s">
        <v>243</v>
      </c>
      <c r="D168" s="72">
        <v>3</v>
      </c>
    </row>
    <row r="169" spans="1:4" s="73" customFormat="1" ht="15">
      <c r="A169" s="297" t="s">
        <v>1827</v>
      </c>
      <c r="B169" s="91"/>
      <c r="C169" s="72" t="s">
        <v>243</v>
      </c>
      <c r="D169" s="72">
        <v>1</v>
      </c>
    </row>
    <row r="170" spans="1:4" s="73" customFormat="1" ht="15">
      <c r="A170" s="287" t="s">
        <v>1840</v>
      </c>
      <c r="B170" s="116"/>
      <c r="C170" s="72" t="s">
        <v>243</v>
      </c>
      <c r="D170" s="72">
        <v>1</v>
      </c>
    </row>
    <row r="171" spans="1:4" s="73" customFormat="1" ht="15">
      <c r="A171" s="297" t="s">
        <v>1841</v>
      </c>
      <c r="B171" s="91"/>
      <c r="C171" s="72" t="s">
        <v>243</v>
      </c>
      <c r="D171" s="72">
        <v>1</v>
      </c>
    </row>
    <row r="172" spans="1:4" s="73" customFormat="1" ht="15">
      <c r="A172" s="297" t="s">
        <v>1842</v>
      </c>
      <c r="B172" s="91"/>
      <c r="C172" s="105" t="s">
        <v>243</v>
      </c>
      <c r="D172" s="174">
        <v>8</v>
      </c>
    </row>
    <row r="173" spans="1:4" s="73" customFormat="1" ht="15">
      <c r="A173" s="297" t="s">
        <v>1843</v>
      </c>
      <c r="B173" s="91"/>
      <c r="C173" s="72" t="s">
        <v>243</v>
      </c>
      <c r="D173" s="187">
        <v>4</v>
      </c>
    </row>
    <row r="174" spans="1:4" s="73" customFormat="1" ht="18" customHeight="1">
      <c r="A174" s="287" t="s">
        <v>1855</v>
      </c>
      <c r="B174" s="116"/>
      <c r="C174" s="72" t="s">
        <v>243</v>
      </c>
      <c r="D174" s="72">
        <v>1</v>
      </c>
    </row>
    <row r="175" spans="1:4" s="73" customFormat="1" ht="15">
      <c r="A175" s="297" t="s">
        <v>1856</v>
      </c>
      <c r="B175" s="91"/>
      <c r="C175" s="72" t="s">
        <v>243</v>
      </c>
      <c r="D175" s="72">
        <v>2</v>
      </c>
    </row>
    <row r="176" spans="1:4" s="73" customFormat="1" ht="15">
      <c r="A176" s="297" t="s">
        <v>1857</v>
      </c>
      <c r="B176" s="91"/>
      <c r="C176" s="105" t="s">
        <v>243</v>
      </c>
      <c r="D176" s="174">
        <v>2</v>
      </c>
    </row>
    <row r="177" spans="1:4" s="73" customFormat="1" ht="15">
      <c r="A177" s="297" t="s">
        <v>1858</v>
      </c>
      <c r="B177" s="91"/>
      <c r="C177" s="72" t="s">
        <v>243</v>
      </c>
      <c r="D177" s="187">
        <v>1.5</v>
      </c>
    </row>
    <row r="178" spans="1:4" s="73" customFormat="1" ht="15">
      <c r="A178" s="297" t="s">
        <v>1859</v>
      </c>
      <c r="B178" s="91"/>
      <c r="C178" s="72" t="s">
        <v>243</v>
      </c>
      <c r="D178" s="72">
        <v>7.5</v>
      </c>
    </row>
    <row r="179" spans="1:4" s="73" customFormat="1" ht="15">
      <c r="A179" s="95" t="s">
        <v>507</v>
      </c>
      <c r="B179" s="70"/>
      <c r="C179" s="77" t="s">
        <v>243</v>
      </c>
      <c r="D179" s="77">
        <v>1</v>
      </c>
    </row>
    <row r="180" spans="1:4" s="73" customFormat="1" ht="15">
      <c r="A180" s="538" t="s">
        <v>508</v>
      </c>
      <c r="B180" s="539"/>
      <c r="C180" s="77" t="s">
        <v>243</v>
      </c>
      <c r="D180" s="77">
        <v>1.5</v>
      </c>
    </row>
    <row r="181" spans="1:4" s="73" customFormat="1" ht="15">
      <c r="A181" s="95" t="s">
        <v>510</v>
      </c>
      <c r="B181" s="70"/>
      <c r="C181" s="77" t="s">
        <v>243</v>
      </c>
      <c r="D181" s="77">
        <v>3</v>
      </c>
    </row>
    <row r="182" spans="1:4" ht="15.75" thickBot="1">
      <c r="A182" s="77"/>
      <c r="B182" s="76"/>
      <c r="C182" s="77"/>
      <c r="D182" s="77"/>
    </row>
    <row r="183" spans="1:4" ht="15.75" thickBot="1">
      <c r="A183" s="453" t="s">
        <v>104</v>
      </c>
      <c r="B183" s="398"/>
      <c r="C183" s="77"/>
      <c r="D183" s="77"/>
    </row>
    <row r="184" spans="1:4" ht="15">
      <c r="A184" s="79"/>
      <c r="B184" s="79"/>
      <c r="C184" s="76"/>
      <c r="D184" s="76"/>
    </row>
    <row r="185" spans="1:4" ht="15.75">
      <c r="A185" s="394" t="s">
        <v>233</v>
      </c>
      <c r="B185" s="394"/>
      <c r="C185" s="394"/>
      <c r="D185" s="394"/>
    </row>
    <row r="186" spans="1:4" ht="15">
      <c r="A186" s="76"/>
      <c r="B186" s="76"/>
      <c r="C186" s="76"/>
      <c r="D186" s="76"/>
    </row>
    <row r="187" spans="1:4" ht="15.75">
      <c r="A187" s="394" t="s">
        <v>234</v>
      </c>
      <c r="B187" s="394"/>
      <c r="C187" s="394"/>
      <c r="D187" s="394"/>
    </row>
  </sheetData>
  <sheetProtection/>
  <mergeCells count="61">
    <mergeCell ref="A22:B22"/>
    <mergeCell ref="A185:D185"/>
    <mergeCell ref="A187:D187"/>
    <mergeCell ref="A101:B101"/>
    <mergeCell ref="A126:B126"/>
    <mergeCell ref="A127:B127"/>
    <mergeCell ref="A128:B128"/>
    <mergeCell ref="A129:B129"/>
    <mergeCell ref="A130:B130"/>
    <mergeCell ref="A131:B131"/>
    <mergeCell ref="A180:B180"/>
    <mergeCell ref="A183:B183"/>
    <mergeCell ref="A136:B136"/>
    <mergeCell ref="A119:B119"/>
    <mergeCell ref="A23:B23"/>
    <mergeCell ref="A24:B24"/>
    <mergeCell ref="A12:B12"/>
    <mergeCell ref="A99:B99"/>
    <mergeCell ref="A14:B14"/>
    <mergeCell ref="A15:B15"/>
    <mergeCell ref="A29:B29"/>
    <mergeCell ref="A30:B30"/>
    <mergeCell ref="A37:B37"/>
    <mergeCell ref="A38:B38"/>
    <mergeCell ref="A39:B39"/>
    <mergeCell ref="A40:B40"/>
    <mergeCell ref="A41:B41"/>
    <mergeCell ref="A70:B70"/>
    <mergeCell ref="A89:B89"/>
    <mergeCell ref="A19:B19"/>
    <mergeCell ref="A91:B91"/>
    <mergeCell ref="A21:B21"/>
    <mergeCell ref="A7:B7"/>
    <mergeCell ref="A8:B8"/>
    <mergeCell ref="A9:B9"/>
    <mergeCell ref="A10:B10"/>
    <mergeCell ref="A11:B11"/>
    <mergeCell ref="A1:D1"/>
    <mergeCell ref="A2:D2"/>
    <mergeCell ref="A3:D3"/>
    <mergeCell ref="A5:B5"/>
    <mergeCell ref="A6:B6"/>
    <mergeCell ref="A155:B155"/>
    <mergeCell ref="A105:B105"/>
    <mergeCell ref="A106:B106"/>
    <mergeCell ref="A109:B109"/>
    <mergeCell ref="A112:B112"/>
    <mergeCell ref="A26:B26"/>
    <mergeCell ref="A27:B27"/>
    <mergeCell ref="A98:B98"/>
    <mergeCell ref="A102:B102"/>
    <mergeCell ref="A103:B103"/>
    <mergeCell ref="A31:B31"/>
    <mergeCell ref="A32:B32"/>
    <mergeCell ref="A33:B33"/>
    <mergeCell ref="A34:B34"/>
    <mergeCell ref="A35:B35"/>
    <mergeCell ref="A53:B53"/>
    <mergeCell ref="A92:B92"/>
    <mergeCell ref="A94:B94"/>
    <mergeCell ref="A95:B95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D158"/>
  <sheetViews>
    <sheetView zoomScalePageLayoutView="0" workbookViewId="0" topLeftCell="A124">
      <selection activeCell="A150" sqref="A150:IV151"/>
    </sheetView>
  </sheetViews>
  <sheetFormatPr defaultColWidth="9.140625" defaultRowHeight="15"/>
  <cols>
    <col min="1" max="1" width="80.8515625" style="0" customWidth="1"/>
    <col min="2" max="2" width="3.28125" style="0" hidden="1" customWidth="1"/>
    <col min="3" max="3" width="33.140625" style="0" customWidth="1"/>
  </cols>
  <sheetData>
    <row r="1" spans="1:4" ht="15.75">
      <c r="A1" s="381" t="s">
        <v>230</v>
      </c>
      <c r="B1" s="381"/>
      <c r="C1" s="381"/>
      <c r="D1" s="381"/>
    </row>
    <row r="2" spans="1:4" ht="15.75">
      <c r="A2" s="382" t="s">
        <v>457</v>
      </c>
      <c r="B2" s="382"/>
      <c r="C2" s="382"/>
      <c r="D2" s="382"/>
    </row>
    <row r="3" spans="1:4" s="55" customFormat="1" ht="15.75">
      <c r="A3" s="382" t="s">
        <v>1929</v>
      </c>
      <c r="B3" s="382"/>
      <c r="C3" s="382"/>
      <c r="D3" s="382"/>
    </row>
    <row r="4" spans="1:4" s="55" customFormat="1" ht="15.75">
      <c r="A4" s="96"/>
      <c r="B4" s="96"/>
      <c r="C4" s="89"/>
      <c r="D4" s="89"/>
    </row>
    <row r="5" spans="1:4" ht="30">
      <c r="A5" s="383" t="s">
        <v>229</v>
      </c>
      <c r="B5" s="384"/>
      <c r="C5" s="86" t="s">
        <v>231</v>
      </c>
      <c r="D5" s="85" t="s">
        <v>530</v>
      </c>
    </row>
    <row r="6" spans="1:4" ht="15">
      <c r="A6" s="383" t="s">
        <v>229</v>
      </c>
      <c r="B6" s="384"/>
      <c r="C6" s="73"/>
      <c r="D6" s="73"/>
    </row>
    <row r="7" spans="1:4" ht="15.75" thickBot="1">
      <c r="A7" s="379" t="s">
        <v>0</v>
      </c>
      <c r="B7" s="380"/>
      <c r="C7" s="76"/>
      <c r="D7" s="76"/>
    </row>
    <row r="8" spans="1:4" ht="15">
      <c r="A8" s="435" t="s">
        <v>24</v>
      </c>
      <c r="B8" s="436"/>
      <c r="C8" s="77"/>
      <c r="D8" s="77"/>
    </row>
    <row r="9" spans="1:4" ht="15">
      <c r="A9" s="435" t="s">
        <v>236</v>
      </c>
      <c r="B9" s="436"/>
      <c r="C9" s="77"/>
      <c r="D9" s="77"/>
    </row>
    <row r="10" spans="1:4" ht="15.75" thickBot="1">
      <c r="A10" s="451" t="s">
        <v>28</v>
      </c>
      <c r="B10" s="445"/>
      <c r="C10" s="77"/>
      <c r="D10" s="77"/>
    </row>
    <row r="11" spans="1:4" ht="15.75" thickBot="1">
      <c r="A11" s="375" t="s">
        <v>29</v>
      </c>
      <c r="B11" s="376"/>
      <c r="C11" s="77"/>
      <c r="D11" s="77"/>
    </row>
    <row r="12" spans="1:4" ht="15">
      <c r="A12" s="433" t="s">
        <v>45</v>
      </c>
      <c r="B12" s="434"/>
      <c r="C12" s="77"/>
      <c r="D12" s="77"/>
    </row>
    <row r="13" spans="1:4" ht="15.75" thickBot="1">
      <c r="A13" s="72" t="s">
        <v>1860</v>
      </c>
      <c r="B13" s="72"/>
      <c r="C13" s="72"/>
      <c r="D13" s="72">
        <v>190.59</v>
      </c>
    </row>
    <row r="14" spans="1:4" ht="15.75" thickBot="1">
      <c r="A14" s="377" t="s">
        <v>56</v>
      </c>
      <c r="B14" s="378"/>
      <c r="C14" s="77"/>
      <c r="D14" s="77"/>
    </row>
    <row r="15" spans="1:4" ht="15.75" thickBot="1">
      <c r="A15" s="375" t="s">
        <v>57</v>
      </c>
      <c r="B15" s="376"/>
      <c r="C15" s="77"/>
      <c r="D15" s="77"/>
    </row>
    <row r="16" spans="1:4" s="73" customFormat="1" ht="15.75" thickBot="1">
      <c r="A16" s="296" t="s">
        <v>1731</v>
      </c>
      <c r="B16" s="288"/>
      <c r="C16" s="72" t="s">
        <v>360</v>
      </c>
      <c r="D16" s="72">
        <f>2*130</f>
        <v>260</v>
      </c>
    </row>
    <row r="17" spans="1:4" ht="29.25" thickBot="1">
      <c r="A17" s="309" t="s">
        <v>1867</v>
      </c>
      <c r="B17" s="306"/>
      <c r="C17" s="72" t="s">
        <v>447</v>
      </c>
      <c r="D17" s="72">
        <f>1.5*2*130</f>
        <v>390</v>
      </c>
    </row>
    <row r="18" spans="1:4" ht="15.75" thickBot="1">
      <c r="A18" s="309" t="s">
        <v>1868</v>
      </c>
      <c r="B18" s="306"/>
      <c r="C18" s="72" t="s">
        <v>1869</v>
      </c>
      <c r="D18" s="72">
        <f>130+3.5*130</f>
        <v>585</v>
      </c>
    </row>
    <row r="19" spans="1:4" ht="15.75" thickBot="1">
      <c r="A19" s="309" t="s">
        <v>1870</v>
      </c>
      <c r="B19" s="306"/>
      <c r="C19" s="72" t="s">
        <v>360</v>
      </c>
      <c r="D19" s="72">
        <f>2*130</f>
        <v>260</v>
      </c>
    </row>
    <row r="20" spans="1:4" ht="15.75" thickBot="1">
      <c r="A20" s="303" t="s">
        <v>1871</v>
      </c>
      <c r="B20" s="306"/>
      <c r="C20" s="72" t="s">
        <v>471</v>
      </c>
      <c r="D20" s="72">
        <f>2*130*4</f>
        <v>1040</v>
      </c>
    </row>
    <row r="21" spans="1:4" ht="15">
      <c r="A21" s="193" t="s">
        <v>1872</v>
      </c>
      <c r="B21" s="269"/>
      <c r="C21" s="72" t="s">
        <v>613</v>
      </c>
      <c r="D21" s="72">
        <f>8*130*2</f>
        <v>2080</v>
      </c>
    </row>
    <row r="22" spans="1:4" ht="15">
      <c r="A22" s="399" t="s">
        <v>1230</v>
      </c>
      <c r="B22" s="400"/>
      <c r="C22" s="181" t="s">
        <v>359</v>
      </c>
      <c r="D22" s="199">
        <f>1.2+1.2</f>
        <v>2.4</v>
      </c>
    </row>
    <row r="23" spans="1:4" ht="15">
      <c r="A23" s="399" t="s">
        <v>430</v>
      </c>
      <c r="B23" s="400"/>
      <c r="C23" s="72" t="s">
        <v>1917</v>
      </c>
      <c r="D23" s="72">
        <v>2</v>
      </c>
    </row>
    <row r="24" spans="1:4" s="73" customFormat="1" ht="26.25" customHeight="1">
      <c r="A24" s="399" t="s">
        <v>1918</v>
      </c>
      <c r="B24" s="400"/>
      <c r="C24" s="105" t="s">
        <v>1919</v>
      </c>
      <c r="D24" s="72">
        <v>4.5</v>
      </c>
    </row>
    <row r="25" spans="1:4" s="73" customFormat="1" ht="15">
      <c r="A25" s="400" t="s">
        <v>1920</v>
      </c>
      <c r="B25" s="448"/>
      <c r="C25" s="72" t="s">
        <v>497</v>
      </c>
      <c r="D25" s="72">
        <v>1</v>
      </c>
    </row>
    <row r="26" spans="1:4" ht="15">
      <c r="A26" s="399" t="s">
        <v>570</v>
      </c>
      <c r="B26" s="400"/>
      <c r="C26" s="72" t="s">
        <v>360</v>
      </c>
      <c r="D26" s="72">
        <v>2.5</v>
      </c>
    </row>
    <row r="27" spans="1:4" s="73" customFormat="1" ht="19.5" customHeight="1">
      <c r="A27" s="399" t="s">
        <v>571</v>
      </c>
      <c r="B27" s="400"/>
      <c r="C27" s="105" t="s">
        <v>485</v>
      </c>
      <c r="D27" s="72">
        <v>2</v>
      </c>
    </row>
    <row r="28" spans="1:4" s="73" customFormat="1" ht="30">
      <c r="A28" s="400" t="s">
        <v>584</v>
      </c>
      <c r="B28" s="448"/>
      <c r="C28" s="105" t="s">
        <v>591</v>
      </c>
      <c r="D28" s="72">
        <v>24</v>
      </c>
    </row>
    <row r="29" spans="1:4" s="73" customFormat="1" ht="15">
      <c r="A29" s="400" t="s">
        <v>615</v>
      </c>
      <c r="B29" s="448"/>
      <c r="C29" s="72" t="s">
        <v>328</v>
      </c>
      <c r="D29" s="72">
        <v>4</v>
      </c>
    </row>
    <row r="30" spans="1:4" s="73" customFormat="1" ht="29.25" customHeight="1">
      <c r="A30" s="399" t="s">
        <v>1930</v>
      </c>
      <c r="B30" s="400"/>
      <c r="C30" s="72" t="s">
        <v>461</v>
      </c>
      <c r="D30" s="72">
        <v>4</v>
      </c>
    </row>
    <row r="31" spans="1:4" s="73" customFormat="1" ht="15">
      <c r="A31" s="321" t="s">
        <v>1931</v>
      </c>
      <c r="B31" s="322"/>
      <c r="C31" s="72" t="s">
        <v>1932</v>
      </c>
      <c r="D31" s="72">
        <v>8</v>
      </c>
    </row>
    <row r="32" spans="1:4" s="73" customFormat="1" ht="15">
      <c r="A32" s="400" t="s">
        <v>1286</v>
      </c>
      <c r="B32" s="448"/>
      <c r="C32" s="72" t="s">
        <v>1287</v>
      </c>
      <c r="D32" s="72">
        <v>4.5</v>
      </c>
    </row>
    <row r="33" spans="1:4" s="94" customFormat="1" ht="18" customHeight="1">
      <c r="A33" s="403" t="s">
        <v>1828</v>
      </c>
      <c r="B33" s="404"/>
      <c r="C33" s="220" t="s">
        <v>328</v>
      </c>
      <c r="D33" s="199">
        <v>1.5</v>
      </c>
    </row>
    <row r="34" spans="1:4" s="94" customFormat="1" ht="15">
      <c r="A34" s="335" t="s">
        <v>1939</v>
      </c>
      <c r="B34" s="336"/>
      <c r="C34" s="199" t="s">
        <v>1606</v>
      </c>
      <c r="D34" s="199">
        <v>8</v>
      </c>
    </row>
    <row r="35" spans="1:4" s="73" customFormat="1" ht="12.75" customHeight="1">
      <c r="A35" s="400" t="s">
        <v>1829</v>
      </c>
      <c r="B35" s="448"/>
      <c r="C35" s="72" t="s">
        <v>1830</v>
      </c>
      <c r="D35" s="72">
        <v>1.5</v>
      </c>
    </row>
    <row r="36" spans="1:4" s="94" customFormat="1" ht="18" customHeight="1">
      <c r="A36" s="403" t="s">
        <v>1831</v>
      </c>
      <c r="B36" s="404"/>
      <c r="C36" s="220" t="s">
        <v>328</v>
      </c>
      <c r="D36" s="199">
        <v>1.5</v>
      </c>
    </row>
    <row r="37" spans="1:4" s="73" customFormat="1" ht="15">
      <c r="A37" s="400" t="s">
        <v>1832</v>
      </c>
      <c r="B37" s="448"/>
      <c r="C37" s="72" t="s">
        <v>1833</v>
      </c>
      <c r="D37" s="72">
        <v>3</v>
      </c>
    </row>
    <row r="38" spans="1:4" s="73" customFormat="1" ht="15.75" customHeight="1" thickBot="1">
      <c r="A38" s="460" t="s">
        <v>1834</v>
      </c>
      <c r="B38" s="535"/>
      <c r="C38" s="72" t="s">
        <v>678</v>
      </c>
      <c r="D38" s="72">
        <v>2</v>
      </c>
    </row>
    <row r="39" spans="1:4" s="73" customFormat="1" ht="15">
      <c r="A39" s="540" t="s">
        <v>899</v>
      </c>
      <c r="B39" s="541"/>
      <c r="C39" s="72" t="s">
        <v>613</v>
      </c>
      <c r="D39" s="72">
        <v>2</v>
      </c>
    </row>
    <row r="40" spans="1:4" s="73" customFormat="1" ht="15">
      <c r="A40" s="193" t="s">
        <v>1835</v>
      </c>
      <c r="B40" s="193"/>
      <c r="C40" s="72" t="s">
        <v>378</v>
      </c>
      <c r="D40" s="72">
        <v>1.5</v>
      </c>
    </row>
    <row r="41" spans="1:4" s="73" customFormat="1" ht="15">
      <c r="A41" s="436" t="s">
        <v>615</v>
      </c>
      <c r="B41" s="447"/>
      <c r="C41" s="77" t="s">
        <v>328</v>
      </c>
      <c r="D41" s="77">
        <v>4</v>
      </c>
    </row>
    <row r="42" spans="1:4" ht="15" customHeight="1">
      <c r="A42" s="436" t="s">
        <v>62</v>
      </c>
      <c r="B42" s="447"/>
      <c r="C42" s="77"/>
      <c r="D42" s="77"/>
    </row>
    <row r="43" spans="1:4" ht="15.75" customHeight="1" thickBot="1">
      <c r="A43" s="445" t="s">
        <v>63</v>
      </c>
      <c r="B43" s="446"/>
      <c r="C43" s="77"/>
      <c r="D43" s="77"/>
    </row>
    <row r="44" spans="1:4" ht="15.75" thickBot="1">
      <c r="A44" s="387" t="s">
        <v>64</v>
      </c>
      <c r="B44" s="377"/>
      <c r="C44" s="77"/>
      <c r="D44" s="77"/>
    </row>
    <row r="45" spans="1:4" ht="15">
      <c r="A45" s="388" t="s">
        <v>66</v>
      </c>
      <c r="B45" s="389"/>
      <c r="C45" s="77"/>
      <c r="D45" s="77"/>
    </row>
    <row r="46" spans="1:4" ht="15.75" thickBot="1">
      <c r="A46" s="60" t="s">
        <v>68</v>
      </c>
      <c r="B46" s="61"/>
      <c r="C46" s="77"/>
      <c r="D46" s="77"/>
    </row>
    <row r="47" spans="1:4" ht="27.75" customHeight="1" thickBot="1">
      <c r="A47" s="405" t="s">
        <v>1865</v>
      </c>
      <c r="B47" s="406"/>
      <c r="C47" s="72"/>
      <c r="D47" s="72">
        <f>9924.43+130*168</f>
        <v>31764.43</v>
      </c>
    </row>
    <row r="48" spans="1:4" ht="15">
      <c r="A48" s="87" t="s">
        <v>1873</v>
      </c>
      <c r="B48" s="93"/>
      <c r="C48" s="72" t="s">
        <v>1874</v>
      </c>
      <c r="D48" s="72">
        <f>130*5*2</f>
        <v>1300</v>
      </c>
    </row>
    <row r="49" spans="1:4" ht="15">
      <c r="A49" s="87" t="s">
        <v>1875</v>
      </c>
      <c r="B49" s="93"/>
      <c r="C49" s="72" t="s">
        <v>309</v>
      </c>
      <c r="D49" s="72">
        <f>2*130</f>
        <v>260</v>
      </c>
    </row>
    <row r="50" spans="1:4" ht="15">
      <c r="A50" s="87" t="s">
        <v>1876</v>
      </c>
      <c r="B50" s="93"/>
      <c r="C50" s="72" t="s">
        <v>1877</v>
      </c>
      <c r="D50" s="72">
        <f>130*0.5*2</f>
        <v>130</v>
      </c>
    </row>
    <row r="51" spans="1:4" ht="15" customHeight="1">
      <c r="A51" s="87" t="s">
        <v>1890</v>
      </c>
      <c r="B51" s="140"/>
      <c r="C51" s="181" t="s">
        <v>328</v>
      </c>
      <c r="D51" s="199">
        <v>1</v>
      </c>
    </row>
    <row r="52" spans="1:4" ht="15" customHeight="1">
      <c r="A52" s="87" t="s">
        <v>1891</v>
      </c>
      <c r="B52" s="140"/>
      <c r="C52" s="181" t="s">
        <v>400</v>
      </c>
      <c r="D52" s="199">
        <v>0.5</v>
      </c>
    </row>
    <row r="53" spans="1:4" ht="15" customHeight="1">
      <c r="A53" s="87" t="s">
        <v>1896</v>
      </c>
      <c r="B53" s="88"/>
      <c r="C53" s="72" t="s">
        <v>864</v>
      </c>
      <c r="D53" s="72">
        <f>3+1</f>
        <v>4</v>
      </c>
    </row>
    <row r="54" spans="1:4" s="73" customFormat="1" ht="15" customHeight="1">
      <c r="A54" s="87" t="s">
        <v>1921</v>
      </c>
      <c r="B54" s="88"/>
      <c r="C54" s="72" t="s">
        <v>279</v>
      </c>
      <c r="D54" s="72">
        <v>2</v>
      </c>
    </row>
    <row r="55" spans="1:4" s="73" customFormat="1" ht="15" customHeight="1">
      <c r="A55" s="87" t="s">
        <v>593</v>
      </c>
      <c r="B55" s="88"/>
      <c r="C55" s="72" t="s">
        <v>358</v>
      </c>
      <c r="D55" s="72">
        <v>3</v>
      </c>
    </row>
    <row r="56" spans="1:4" s="73" customFormat="1" ht="15" customHeight="1">
      <c r="A56" s="87" t="s">
        <v>726</v>
      </c>
      <c r="B56" s="88"/>
      <c r="C56" s="72" t="s">
        <v>724</v>
      </c>
      <c r="D56" s="72">
        <v>3</v>
      </c>
    </row>
    <row r="57" spans="1:4" s="73" customFormat="1" ht="15" customHeight="1">
      <c r="A57" s="87" t="s">
        <v>754</v>
      </c>
      <c r="B57" s="88"/>
      <c r="C57" s="72" t="s">
        <v>447</v>
      </c>
      <c r="D57" s="72">
        <v>3</v>
      </c>
    </row>
    <row r="58" spans="1:4" s="73" customFormat="1" ht="15">
      <c r="A58" s="87" t="s">
        <v>773</v>
      </c>
      <c r="B58" s="93"/>
      <c r="C58" s="72" t="s">
        <v>784</v>
      </c>
      <c r="D58" s="72">
        <v>2</v>
      </c>
    </row>
    <row r="59" spans="1:4" s="73" customFormat="1" ht="15" customHeight="1">
      <c r="A59" s="87" t="s">
        <v>1940</v>
      </c>
      <c r="B59" s="88"/>
      <c r="C59" s="72" t="s">
        <v>433</v>
      </c>
      <c r="D59" s="72">
        <v>2</v>
      </c>
    </row>
    <row r="60" spans="1:4" s="73" customFormat="1" ht="29.25" customHeight="1">
      <c r="A60" s="312" t="s">
        <v>1941</v>
      </c>
      <c r="B60" s="318"/>
      <c r="C60" s="72" t="s">
        <v>309</v>
      </c>
      <c r="D60" s="72">
        <v>3</v>
      </c>
    </row>
    <row r="61" spans="1:4" s="73" customFormat="1" ht="15">
      <c r="A61" s="402" t="s">
        <v>907</v>
      </c>
      <c r="B61" s="413"/>
      <c r="C61" s="72" t="s">
        <v>908</v>
      </c>
      <c r="D61" s="72">
        <v>2.25</v>
      </c>
    </row>
    <row r="62" spans="1:4" s="73" customFormat="1" ht="28.5">
      <c r="A62" s="108" t="s">
        <v>1942</v>
      </c>
      <c r="B62" s="88"/>
      <c r="C62" s="72" t="s">
        <v>390</v>
      </c>
      <c r="D62" s="72">
        <v>3</v>
      </c>
    </row>
    <row r="63" spans="1:4" ht="15">
      <c r="A63" s="62" t="s">
        <v>237</v>
      </c>
      <c r="B63" s="63"/>
      <c r="C63" s="77"/>
      <c r="D63" s="77"/>
    </row>
    <row r="64" spans="1:4" ht="15" customHeight="1">
      <c r="A64" s="64" t="s">
        <v>238</v>
      </c>
      <c r="B64" s="65"/>
      <c r="C64" s="77"/>
      <c r="D64" s="77"/>
    </row>
    <row r="65" spans="1:4" ht="15" customHeight="1">
      <c r="A65" s="66" t="s">
        <v>80</v>
      </c>
      <c r="B65" s="67"/>
      <c r="C65" s="77"/>
      <c r="D65" s="77"/>
    </row>
    <row r="66" spans="1:4" ht="15" customHeight="1">
      <c r="A66" s="64" t="s">
        <v>82</v>
      </c>
      <c r="B66" s="65"/>
      <c r="C66" s="77"/>
      <c r="D66" s="77"/>
    </row>
    <row r="67" spans="1:4" ht="15">
      <c r="A67" s="64" t="s">
        <v>84</v>
      </c>
      <c r="B67" s="65"/>
      <c r="C67" s="77"/>
      <c r="D67" s="77"/>
    </row>
    <row r="68" spans="1:4" ht="15" customHeight="1">
      <c r="A68" s="64" t="s">
        <v>86</v>
      </c>
      <c r="B68" s="65"/>
      <c r="C68" s="77"/>
      <c r="D68" s="77"/>
    </row>
    <row r="69" spans="1:4" ht="15" customHeight="1">
      <c r="A69" s="68" t="s">
        <v>88</v>
      </c>
      <c r="B69" s="69"/>
      <c r="C69" s="77"/>
      <c r="D69" s="77"/>
    </row>
    <row r="70" spans="1:4" ht="15">
      <c r="A70" s="390" t="s">
        <v>90</v>
      </c>
      <c r="B70" s="391"/>
      <c r="C70" s="77"/>
      <c r="D70" s="77"/>
    </row>
    <row r="71" spans="1:4" ht="15">
      <c r="A71" s="297" t="s">
        <v>791</v>
      </c>
      <c r="B71" s="91"/>
      <c r="C71" s="72" t="s">
        <v>360</v>
      </c>
      <c r="D71" s="72">
        <f>0.4*130</f>
        <v>52</v>
      </c>
    </row>
    <row r="72" spans="1:4" ht="15">
      <c r="A72" s="297" t="s">
        <v>1736</v>
      </c>
      <c r="B72" s="91"/>
      <c r="C72" s="72" t="s">
        <v>279</v>
      </c>
      <c r="D72" s="72">
        <f>130*0.5</f>
        <v>65</v>
      </c>
    </row>
    <row r="73" spans="1:4" ht="15">
      <c r="A73" s="297" t="s">
        <v>1737</v>
      </c>
      <c r="B73" s="91"/>
      <c r="C73" s="72" t="s">
        <v>279</v>
      </c>
      <c r="D73" s="72">
        <f>130*0.5</f>
        <v>65</v>
      </c>
    </row>
    <row r="74" spans="1:4" ht="15">
      <c r="A74" s="298" t="s">
        <v>1861</v>
      </c>
      <c r="B74" s="91"/>
      <c r="C74" s="72" t="s">
        <v>279</v>
      </c>
      <c r="D74" s="72">
        <f>1.5*130</f>
        <v>195</v>
      </c>
    </row>
    <row r="75" spans="1:4" ht="27" customHeight="1">
      <c r="A75" s="298" t="s">
        <v>1862</v>
      </c>
      <c r="B75" s="91"/>
      <c r="C75" s="105" t="s">
        <v>1027</v>
      </c>
      <c r="D75" s="72">
        <f>130*3*4</f>
        <v>1560</v>
      </c>
    </row>
    <row r="76" spans="1:4" ht="45">
      <c r="A76" s="298" t="s">
        <v>1863</v>
      </c>
      <c r="B76" s="91"/>
      <c r="C76" s="105" t="s">
        <v>1864</v>
      </c>
      <c r="D76" s="72">
        <f>3*130*5</f>
        <v>1950</v>
      </c>
    </row>
    <row r="77" spans="1:4" ht="15">
      <c r="A77" s="327" t="s">
        <v>1878</v>
      </c>
      <c r="B77" s="91"/>
      <c r="C77" s="72" t="s">
        <v>447</v>
      </c>
      <c r="D77" s="72">
        <f>1.5*130*2</f>
        <v>390</v>
      </c>
    </row>
    <row r="78" spans="1:4" ht="15">
      <c r="A78" s="327" t="s">
        <v>1879</v>
      </c>
      <c r="B78" s="91"/>
      <c r="C78" s="72" t="s">
        <v>328</v>
      </c>
      <c r="D78" s="72">
        <f>3*130</f>
        <v>390</v>
      </c>
    </row>
    <row r="79" spans="1:4" ht="15">
      <c r="A79" s="327" t="s">
        <v>1880</v>
      </c>
      <c r="B79" s="91"/>
      <c r="C79" s="72" t="s">
        <v>328</v>
      </c>
      <c r="D79" s="72">
        <f>3*130</f>
        <v>390</v>
      </c>
    </row>
    <row r="80" spans="1:4" ht="30">
      <c r="A80" s="327" t="s">
        <v>1881</v>
      </c>
      <c r="B80" s="91"/>
      <c r="C80" s="105" t="s">
        <v>591</v>
      </c>
      <c r="D80" s="72">
        <f>130*6*2+2*130</f>
        <v>1820</v>
      </c>
    </row>
    <row r="81" spans="1:4" ht="15">
      <c r="A81" s="327" t="s">
        <v>1882</v>
      </c>
      <c r="B81" s="91"/>
      <c r="C81" s="72" t="s">
        <v>471</v>
      </c>
      <c r="D81" s="72">
        <f>130*4+130*2</f>
        <v>780</v>
      </c>
    </row>
    <row r="82" spans="1:4" ht="15">
      <c r="A82" s="330" t="s">
        <v>1883</v>
      </c>
      <c r="B82" s="91"/>
      <c r="C82" s="72" t="s">
        <v>468</v>
      </c>
      <c r="D82" s="72">
        <f>130*2</f>
        <v>260</v>
      </c>
    </row>
    <row r="83" spans="1:4" ht="15">
      <c r="A83" s="327" t="s">
        <v>1884</v>
      </c>
      <c r="B83" s="91"/>
      <c r="C83" s="72" t="s">
        <v>850</v>
      </c>
      <c r="D83" s="72">
        <f>2*130*2</f>
        <v>520</v>
      </c>
    </row>
    <row r="84" spans="1:4" ht="15">
      <c r="A84" s="327" t="s">
        <v>1753</v>
      </c>
      <c r="B84" s="91"/>
      <c r="C84" s="72" t="s">
        <v>279</v>
      </c>
      <c r="D84" s="72">
        <f>1.5*130</f>
        <v>195</v>
      </c>
    </row>
    <row r="85" spans="1:4" ht="15">
      <c r="A85" s="327" t="s">
        <v>1885</v>
      </c>
      <c r="B85" s="91"/>
      <c r="C85" s="72" t="s">
        <v>279</v>
      </c>
      <c r="D85" s="72">
        <f>0.5*65</f>
        <v>32.5</v>
      </c>
    </row>
    <row r="86" spans="1:4" ht="15" customHeight="1">
      <c r="A86" s="401" t="s">
        <v>1892</v>
      </c>
      <c r="B86" s="402"/>
      <c r="C86" s="181" t="s">
        <v>279</v>
      </c>
      <c r="D86" s="199">
        <v>0.5</v>
      </c>
    </row>
    <row r="87" spans="1:4" ht="15" customHeight="1">
      <c r="A87" s="313" t="s">
        <v>1893</v>
      </c>
      <c r="B87" s="318"/>
      <c r="C87" s="181" t="s">
        <v>279</v>
      </c>
      <c r="D87" s="199">
        <v>1</v>
      </c>
    </row>
    <row r="88" spans="1:4" ht="15">
      <c r="A88" s="402" t="s">
        <v>345</v>
      </c>
      <c r="B88" s="413"/>
      <c r="C88" s="181" t="s">
        <v>359</v>
      </c>
      <c r="D88" s="199">
        <f>2+1.5</f>
        <v>3.5</v>
      </c>
    </row>
    <row r="89" spans="1:4" ht="15.75" customHeight="1">
      <c r="A89" s="424" t="s">
        <v>293</v>
      </c>
      <c r="B89" s="425"/>
      <c r="C89" s="181" t="s">
        <v>279</v>
      </c>
      <c r="D89" s="199">
        <v>2</v>
      </c>
    </row>
    <row r="90" spans="1:4" ht="17.25" customHeight="1">
      <c r="A90" s="401" t="s">
        <v>1897</v>
      </c>
      <c r="B90" s="402"/>
      <c r="C90" s="105" t="s">
        <v>433</v>
      </c>
      <c r="D90" s="72">
        <f>2+2+4</f>
        <v>8</v>
      </c>
    </row>
    <row r="91" spans="1:4" ht="15" customHeight="1">
      <c r="A91" s="401" t="s">
        <v>1898</v>
      </c>
      <c r="B91" s="402"/>
      <c r="C91" s="72" t="s">
        <v>328</v>
      </c>
      <c r="D91" s="72">
        <v>2.5</v>
      </c>
    </row>
    <row r="92" spans="1:4" ht="29.25" customHeight="1">
      <c r="A92" s="401" t="s">
        <v>1899</v>
      </c>
      <c r="B92" s="402"/>
      <c r="C92" s="105" t="s">
        <v>1900</v>
      </c>
      <c r="D92" s="72">
        <f>2+2+8+8</f>
        <v>20</v>
      </c>
    </row>
    <row r="93" spans="1:4" ht="15" customHeight="1">
      <c r="A93" s="313" t="s">
        <v>1901</v>
      </c>
      <c r="B93" s="318"/>
      <c r="C93" s="72" t="s">
        <v>864</v>
      </c>
      <c r="D93" s="72">
        <f>1+1</f>
        <v>2</v>
      </c>
    </row>
    <row r="94" spans="1:4" s="73" customFormat="1" ht="29.25" customHeight="1">
      <c r="A94" s="313" t="s">
        <v>1902</v>
      </c>
      <c r="B94" s="318"/>
      <c r="C94" s="105" t="s">
        <v>1903</v>
      </c>
      <c r="D94" s="72">
        <f>8+8+8+8</f>
        <v>32</v>
      </c>
    </row>
    <row r="95" spans="1:4" s="73" customFormat="1" ht="30.75" customHeight="1">
      <c r="A95" s="313" t="s">
        <v>1904</v>
      </c>
      <c r="B95" s="318"/>
      <c r="C95" s="105" t="s">
        <v>1905</v>
      </c>
      <c r="D95" s="72">
        <f>8+8+8+8+5</f>
        <v>37</v>
      </c>
    </row>
    <row r="96" spans="1:4" s="73" customFormat="1" ht="15" customHeight="1">
      <c r="A96" s="313" t="s">
        <v>1906</v>
      </c>
      <c r="B96" s="318"/>
      <c r="C96" s="72" t="s">
        <v>371</v>
      </c>
      <c r="D96" s="72">
        <f>7+7</f>
        <v>14</v>
      </c>
    </row>
    <row r="97" spans="1:4" s="73" customFormat="1" ht="15" customHeight="1">
      <c r="A97" s="313" t="s">
        <v>1907</v>
      </c>
      <c r="B97" s="318"/>
      <c r="C97" s="72" t="s">
        <v>371</v>
      </c>
      <c r="D97" s="72">
        <f>8+8</f>
        <v>16</v>
      </c>
    </row>
    <row r="98" spans="1:4" s="73" customFormat="1" ht="15" customHeight="1">
      <c r="A98" s="313" t="s">
        <v>1908</v>
      </c>
      <c r="B98" s="318"/>
      <c r="C98" s="72" t="s">
        <v>1909</v>
      </c>
      <c r="D98" s="72">
        <f>8+8+2</f>
        <v>18</v>
      </c>
    </row>
    <row r="99" spans="1:4" s="73" customFormat="1" ht="32.25" customHeight="1">
      <c r="A99" s="313" t="s">
        <v>1910</v>
      </c>
      <c r="B99" s="318"/>
      <c r="C99" s="105" t="s">
        <v>1911</v>
      </c>
      <c r="D99" s="72">
        <f>4+8+8</f>
        <v>20</v>
      </c>
    </row>
    <row r="100" spans="1:4" s="73" customFormat="1" ht="15" customHeight="1">
      <c r="A100" s="212" t="s">
        <v>1912</v>
      </c>
      <c r="B100" s="116"/>
      <c r="C100" s="72" t="s">
        <v>850</v>
      </c>
      <c r="D100" s="72">
        <f>8+8</f>
        <v>16</v>
      </c>
    </row>
    <row r="101" spans="1:4" s="73" customFormat="1" ht="15" customHeight="1">
      <c r="A101" s="401" t="s">
        <v>1922</v>
      </c>
      <c r="B101" s="402"/>
      <c r="C101" s="72" t="s">
        <v>1923</v>
      </c>
      <c r="D101" s="72">
        <v>3</v>
      </c>
    </row>
    <row r="102" spans="1:4" s="73" customFormat="1" ht="30.75" customHeight="1">
      <c r="A102" s="313" t="s">
        <v>1924</v>
      </c>
      <c r="B102" s="318"/>
      <c r="C102" s="72" t="s">
        <v>358</v>
      </c>
      <c r="D102" s="72">
        <v>2</v>
      </c>
    </row>
    <row r="103" spans="1:4" s="73" customFormat="1" ht="31.5" customHeight="1">
      <c r="A103" s="401" t="s">
        <v>1806</v>
      </c>
      <c r="B103" s="402"/>
      <c r="C103" s="72" t="s">
        <v>279</v>
      </c>
      <c r="D103" s="72">
        <v>1</v>
      </c>
    </row>
    <row r="104" spans="1:4" s="73" customFormat="1" ht="24" customHeight="1">
      <c r="A104" s="313" t="s">
        <v>1925</v>
      </c>
      <c r="B104" s="318"/>
      <c r="C104" s="72" t="s">
        <v>309</v>
      </c>
      <c r="D104" s="72">
        <v>1.5</v>
      </c>
    </row>
    <row r="105" spans="1:4" s="73" customFormat="1" ht="15" customHeight="1">
      <c r="A105" s="402" t="s">
        <v>587</v>
      </c>
      <c r="B105" s="413"/>
      <c r="C105" s="72" t="s">
        <v>447</v>
      </c>
      <c r="D105" s="72">
        <v>4</v>
      </c>
    </row>
    <row r="106" spans="1:4" s="73" customFormat="1" ht="18.75" customHeight="1">
      <c r="A106" s="401" t="s">
        <v>700</v>
      </c>
      <c r="B106" s="402"/>
      <c r="C106" s="72" t="s">
        <v>699</v>
      </c>
      <c r="D106" s="72">
        <v>6</v>
      </c>
    </row>
    <row r="107" spans="1:4" s="73" customFormat="1" ht="18.75" customHeight="1">
      <c r="A107" s="168" t="s">
        <v>740</v>
      </c>
      <c r="B107" s="169"/>
      <c r="C107" s="72" t="s">
        <v>741</v>
      </c>
      <c r="D107" s="72">
        <v>5</v>
      </c>
    </row>
    <row r="108" spans="1:4" s="73" customFormat="1" ht="18.75" customHeight="1">
      <c r="A108" s="401" t="s">
        <v>1933</v>
      </c>
      <c r="B108" s="402"/>
      <c r="C108" s="72" t="s">
        <v>461</v>
      </c>
      <c r="D108" s="72">
        <v>4</v>
      </c>
    </row>
    <row r="109" spans="1:4" s="73" customFormat="1" ht="18.75" customHeight="1">
      <c r="A109" s="313" t="s">
        <v>1934</v>
      </c>
      <c r="B109" s="318"/>
      <c r="C109" s="72" t="s">
        <v>447</v>
      </c>
      <c r="D109" s="72">
        <v>3</v>
      </c>
    </row>
    <row r="110" spans="1:4" s="73" customFormat="1" ht="17.25" customHeight="1">
      <c r="A110" s="401" t="s">
        <v>1821</v>
      </c>
      <c r="B110" s="402"/>
      <c r="C110" s="72" t="s">
        <v>1822</v>
      </c>
      <c r="D110" s="72">
        <v>1</v>
      </c>
    </row>
    <row r="111" spans="1:4" s="73" customFormat="1" ht="33" customHeight="1">
      <c r="A111" s="321" t="s">
        <v>905</v>
      </c>
      <c r="B111" s="322"/>
      <c r="C111" s="105" t="s">
        <v>906</v>
      </c>
      <c r="D111" s="72">
        <v>1.2</v>
      </c>
    </row>
    <row r="112" spans="1:4" s="73" customFormat="1" ht="18.75" customHeight="1">
      <c r="A112" s="313" t="s">
        <v>1943</v>
      </c>
      <c r="B112" s="318"/>
      <c r="C112" s="72" t="s">
        <v>613</v>
      </c>
      <c r="D112" s="72">
        <v>6</v>
      </c>
    </row>
    <row r="113" spans="1:4" s="73" customFormat="1" ht="29.25" customHeight="1">
      <c r="A113" s="402" t="s">
        <v>1944</v>
      </c>
      <c r="B113" s="413"/>
      <c r="C113" s="72" t="s">
        <v>433</v>
      </c>
      <c r="D113" s="72">
        <v>4</v>
      </c>
    </row>
    <row r="114" spans="1:4" s="73" customFormat="1" ht="28.5" customHeight="1">
      <c r="A114" s="402" t="s">
        <v>1945</v>
      </c>
      <c r="B114" s="413"/>
      <c r="C114" s="72" t="s">
        <v>433</v>
      </c>
      <c r="D114" s="72">
        <v>2</v>
      </c>
    </row>
    <row r="115" spans="1:4" s="73" customFormat="1" ht="15">
      <c r="A115" s="402" t="s">
        <v>907</v>
      </c>
      <c r="B115" s="413"/>
      <c r="C115" s="72" t="s">
        <v>908</v>
      </c>
      <c r="D115" s="72">
        <v>2.25</v>
      </c>
    </row>
    <row r="116" spans="1:4" s="73" customFormat="1" ht="18" customHeight="1">
      <c r="A116" s="312" t="s">
        <v>1089</v>
      </c>
      <c r="B116" s="318"/>
      <c r="C116" s="72" t="s">
        <v>1090</v>
      </c>
      <c r="D116" s="72">
        <v>1.5</v>
      </c>
    </row>
    <row r="117" spans="1:4" s="73" customFormat="1" ht="18.75" customHeight="1">
      <c r="A117" s="321" t="s">
        <v>1310</v>
      </c>
      <c r="B117" s="322"/>
      <c r="C117" s="105" t="s">
        <v>1311</v>
      </c>
      <c r="D117" s="72">
        <v>3.4</v>
      </c>
    </row>
    <row r="118" spans="1:4" s="73" customFormat="1" ht="15">
      <c r="A118" s="402" t="s">
        <v>1093</v>
      </c>
      <c r="B118" s="413"/>
      <c r="C118" s="72" t="s">
        <v>1094</v>
      </c>
      <c r="D118" s="72">
        <v>1.1</v>
      </c>
    </row>
    <row r="119" spans="1:4" s="73" customFormat="1" ht="13.5" customHeight="1">
      <c r="A119" s="402" t="s">
        <v>1947</v>
      </c>
      <c r="B119" s="413"/>
      <c r="C119" s="72" t="s">
        <v>378</v>
      </c>
      <c r="D119" s="72">
        <v>4</v>
      </c>
    </row>
    <row r="120" spans="1:4" s="73" customFormat="1" ht="15" customHeight="1">
      <c r="A120" s="437" t="s">
        <v>587</v>
      </c>
      <c r="B120" s="438"/>
      <c r="C120" s="77" t="s">
        <v>447</v>
      </c>
      <c r="D120" s="77">
        <v>4</v>
      </c>
    </row>
    <row r="121" spans="1:4" ht="15">
      <c r="A121" s="437" t="s">
        <v>345</v>
      </c>
      <c r="B121" s="438"/>
      <c r="C121" s="77" t="s">
        <v>359</v>
      </c>
      <c r="D121" s="77">
        <f>2+1.5</f>
        <v>3.5</v>
      </c>
    </row>
    <row r="122" spans="1:4" ht="15.75" customHeight="1" thickBot="1">
      <c r="A122" s="439" t="s">
        <v>293</v>
      </c>
      <c r="B122" s="440"/>
      <c r="C122" s="77" t="s">
        <v>279</v>
      </c>
      <c r="D122" s="77">
        <v>2</v>
      </c>
    </row>
    <row r="123" spans="1:4" ht="15.75" thickBot="1">
      <c r="A123" s="377" t="s">
        <v>99</v>
      </c>
      <c r="B123" s="378"/>
      <c r="C123" s="77"/>
      <c r="D123" s="77"/>
    </row>
    <row r="124" spans="1:4" ht="30.75" customHeight="1" thickBot="1">
      <c r="A124" s="501" t="s">
        <v>307</v>
      </c>
      <c r="B124" s="502"/>
      <c r="C124" s="78" t="s">
        <v>420</v>
      </c>
      <c r="D124" s="80" t="s">
        <v>422</v>
      </c>
    </row>
    <row r="125" spans="1:4" ht="15.75" thickBot="1">
      <c r="A125" s="377" t="s">
        <v>101</v>
      </c>
      <c r="B125" s="378"/>
      <c r="C125" s="77"/>
      <c r="D125" s="77"/>
    </row>
    <row r="126" spans="1:4" ht="15.75" thickBot="1">
      <c r="A126" s="443" t="s">
        <v>102</v>
      </c>
      <c r="B126" s="375"/>
      <c r="C126" s="77" t="s">
        <v>243</v>
      </c>
      <c r="D126" s="77"/>
    </row>
    <row r="127" spans="1:4" ht="15">
      <c r="A127" s="525" t="s">
        <v>1866</v>
      </c>
      <c r="B127" s="526"/>
      <c r="C127" s="72"/>
      <c r="D127" s="72">
        <f>75+128+100+24+40+32.2+130*4</f>
        <v>919.2</v>
      </c>
    </row>
    <row r="128" spans="1:4" ht="15">
      <c r="A128" s="327" t="s">
        <v>1886</v>
      </c>
      <c r="B128" s="325"/>
      <c r="C128" s="72" t="s">
        <v>243</v>
      </c>
      <c r="D128" s="72">
        <f>1.5*130</f>
        <v>195</v>
      </c>
    </row>
    <row r="129" spans="1:4" ht="15">
      <c r="A129" s="327" t="s">
        <v>1887</v>
      </c>
      <c r="B129" s="325"/>
      <c r="C129" s="72" t="s">
        <v>243</v>
      </c>
      <c r="D129" s="72">
        <f>1.5*130</f>
        <v>195</v>
      </c>
    </row>
    <row r="130" spans="1:4" ht="15">
      <c r="A130" s="327" t="s">
        <v>1888</v>
      </c>
      <c r="B130" s="325"/>
      <c r="C130" s="72" t="s">
        <v>243</v>
      </c>
      <c r="D130" s="72">
        <f>130*1.5</f>
        <v>195</v>
      </c>
    </row>
    <row r="131" spans="1:4" ht="15">
      <c r="A131" s="327" t="s">
        <v>1889</v>
      </c>
      <c r="B131" s="325"/>
      <c r="C131" s="72" t="s">
        <v>243</v>
      </c>
      <c r="D131" s="72">
        <f>130</f>
        <v>130</v>
      </c>
    </row>
    <row r="132" spans="1:4" ht="15">
      <c r="A132" s="327" t="s">
        <v>1894</v>
      </c>
      <c r="B132" s="135"/>
      <c r="C132" s="199"/>
      <c r="D132" s="199">
        <v>1.5</v>
      </c>
    </row>
    <row r="133" spans="1:4" ht="15">
      <c r="A133" s="327" t="s">
        <v>1895</v>
      </c>
      <c r="B133" s="135"/>
      <c r="C133" s="199"/>
      <c r="D133" s="199">
        <v>1</v>
      </c>
    </row>
    <row r="134" spans="1:4" s="73" customFormat="1" ht="15">
      <c r="A134" s="327" t="s">
        <v>1913</v>
      </c>
      <c r="B134" s="91"/>
      <c r="C134" s="72" t="s">
        <v>243</v>
      </c>
      <c r="D134" s="72">
        <v>1</v>
      </c>
    </row>
    <row r="135" spans="1:4" s="73" customFormat="1" ht="15">
      <c r="A135" s="327" t="s">
        <v>1914</v>
      </c>
      <c r="B135" s="91"/>
      <c r="C135" s="72" t="s">
        <v>243</v>
      </c>
      <c r="D135" s="72">
        <v>3</v>
      </c>
    </row>
    <row r="136" spans="1:4" s="73" customFormat="1" ht="15">
      <c r="A136" s="327" t="s">
        <v>1915</v>
      </c>
      <c r="B136" s="91"/>
      <c r="C136" s="72" t="s">
        <v>243</v>
      </c>
      <c r="D136" s="72">
        <v>1</v>
      </c>
    </row>
    <row r="137" spans="1:4" s="73" customFormat="1" ht="15">
      <c r="A137" s="327" t="s">
        <v>1916</v>
      </c>
      <c r="B137" s="91"/>
      <c r="C137" s="72" t="s">
        <v>243</v>
      </c>
      <c r="D137" s="72">
        <v>1</v>
      </c>
    </row>
    <row r="138" spans="1:4" s="73" customFormat="1" ht="15">
      <c r="A138" s="327" t="s">
        <v>1926</v>
      </c>
      <c r="B138" s="91"/>
      <c r="C138" s="72" t="s">
        <v>243</v>
      </c>
      <c r="D138" s="72">
        <v>1</v>
      </c>
    </row>
    <row r="139" spans="1:4" ht="15">
      <c r="A139" s="327" t="s">
        <v>1927</v>
      </c>
      <c r="B139" s="91"/>
      <c r="C139" s="72" t="s">
        <v>243</v>
      </c>
      <c r="D139" s="72">
        <v>1.5</v>
      </c>
    </row>
    <row r="140" spans="1:4" ht="15">
      <c r="A140" s="327" t="s">
        <v>1928</v>
      </c>
      <c r="B140" s="91"/>
      <c r="C140" s="72" t="s">
        <v>243</v>
      </c>
      <c r="D140" s="72">
        <v>1</v>
      </c>
    </row>
    <row r="141" spans="1:4" ht="15">
      <c r="A141" s="327" t="s">
        <v>607</v>
      </c>
      <c r="B141" s="91"/>
      <c r="C141" s="72" t="s">
        <v>243</v>
      </c>
      <c r="D141" s="72">
        <v>2</v>
      </c>
    </row>
    <row r="142" spans="1:4" s="73" customFormat="1" ht="15">
      <c r="A142" s="90" t="s">
        <v>704</v>
      </c>
      <c r="B142" s="91"/>
      <c r="C142" s="72" t="s">
        <v>243</v>
      </c>
      <c r="D142" s="72">
        <v>1</v>
      </c>
    </row>
    <row r="143" spans="1:4" s="73" customFormat="1" ht="15">
      <c r="A143" s="90" t="s">
        <v>758</v>
      </c>
      <c r="B143" s="91"/>
      <c r="C143" s="72" t="s">
        <v>243</v>
      </c>
      <c r="D143" s="72">
        <v>1</v>
      </c>
    </row>
    <row r="144" spans="1:4" s="73" customFormat="1" ht="15">
      <c r="A144" s="90" t="s">
        <v>781</v>
      </c>
      <c r="B144" s="91"/>
      <c r="C144" s="72" t="s">
        <v>243</v>
      </c>
      <c r="D144" s="72">
        <v>2</v>
      </c>
    </row>
    <row r="145" spans="1:4" s="73" customFormat="1" ht="15">
      <c r="A145" s="327" t="s">
        <v>1935</v>
      </c>
      <c r="B145" s="91"/>
      <c r="C145" s="72" t="s">
        <v>243</v>
      </c>
      <c r="D145" s="72">
        <v>2</v>
      </c>
    </row>
    <row r="146" spans="1:4" s="73" customFormat="1" ht="15">
      <c r="A146" s="327" t="s">
        <v>1936</v>
      </c>
      <c r="B146" s="91"/>
      <c r="C146" s="72" t="s">
        <v>243</v>
      </c>
      <c r="D146" s="72">
        <v>1</v>
      </c>
    </row>
    <row r="147" spans="1:4" s="73" customFormat="1" ht="15">
      <c r="A147" s="327" t="s">
        <v>1937</v>
      </c>
      <c r="B147" s="91"/>
      <c r="C147" s="72" t="s">
        <v>243</v>
      </c>
      <c r="D147" s="72">
        <v>2</v>
      </c>
    </row>
    <row r="148" spans="1:4" s="73" customFormat="1" ht="15">
      <c r="A148" s="327" t="s">
        <v>1938</v>
      </c>
      <c r="B148" s="91"/>
      <c r="C148" s="72" t="s">
        <v>243</v>
      </c>
      <c r="D148" s="72">
        <v>1.5</v>
      </c>
    </row>
    <row r="149" spans="1:4" s="94" customFormat="1" ht="28.5">
      <c r="A149" s="337" t="s">
        <v>1946</v>
      </c>
      <c r="B149" s="338"/>
      <c r="C149" s="199" t="s">
        <v>243</v>
      </c>
      <c r="D149" s="199">
        <v>1</v>
      </c>
    </row>
    <row r="150" spans="1:4" s="73" customFormat="1" ht="15">
      <c r="A150" s="327" t="s">
        <v>1948</v>
      </c>
      <c r="B150" s="91"/>
      <c r="C150" s="72" t="s">
        <v>243</v>
      </c>
      <c r="D150" s="72">
        <v>2</v>
      </c>
    </row>
    <row r="151" spans="1:4" s="73" customFormat="1" ht="28.5">
      <c r="A151" s="327" t="s">
        <v>1949</v>
      </c>
      <c r="B151" s="91"/>
      <c r="C151" s="72" t="s">
        <v>1950</v>
      </c>
      <c r="D151" s="72">
        <v>1.5</v>
      </c>
    </row>
    <row r="152" spans="1:4" ht="15">
      <c r="A152" s="95" t="s">
        <v>607</v>
      </c>
      <c r="B152" s="70"/>
      <c r="C152" s="77" t="s">
        <v>243</v>
      </c>
      <c r="D152" s="77">
        <v>2</v>
      </c>
    </row>
    <row r="153" spans="1:4" ht="15.75" thickBot="1">
      <c r="A153" s="395" t="s">
        <v>103</v>
      </c>
      <c r="B153" s="396"/>
      <c r="C153" s="77"/>
      <c r="D153" s="77"/>
    </row>
    <row r="154" spans="1:4" ht="15.75" thickBot="1">
      <c r="A154" s="397" t="s">
        <v>104</v>
      </c>
      <c r="B154" s="398"/>
      <c r="C154" s="77"/>
      <c r="D154" s="77"/>
    </row>
    <row r="155" spans="1:4" ht="15">
      <c r="A155" s="79"/>
      <c r="B155" s="79"/>
      <c r="C155" s="76"/>
      <c r="D155" s="76"/>
    </row>
    <row r="156" spans="1:4" ht="15.75">
      <c r="A156" s="394" t="s">
        <v>233</v>
      </c>
      <c r="B156" s="394"/>
      <c r="C156" s="394"/>
      <c r="D156" s="394"/>
    </row>
    <row r="157" spans="1:4" ht="15">
      <c r="A157" s="76"/>
      <c r="B157" s="76"/>
      <c r="C157" s="76"/>
      <c r="D157" s="76"/>
    </row>
    <row r="158" spans="1:4" ht="15.75">
      <c r="A158" s="394" t="s">
        <v>234</v>
      </c>
      <c r="B158" s="394"/>
      <c r="C158" s="394"/>
      <c r="D158" s="394"/>
    </row>
  </sheetData>
  <sheetProtection/>
  <mergeCells count="66">
    <mergeCell ref="A156:D156"/>
    <mergeCell ref="A158:D158"/>
    <mergeCell ref="A120:B120"/>
    <mergeCell ref="A121:B121"/>
    <mergeCell ref="A122:B122"/>
    <mergeCell ref="A123:B123"/>
    <mergeCell ref="A124:B124"/>
    <mergeCell ref="A125:B125"/>
    <mergeCell ref="A126:B126"/>
    <mergeCell ref="A153:B153"/>
    <mergeCell ref="A154:B154"/>
    <mergeCell ref="A127:B127"/>
    <mergeCell ref="A12:B12"/>
    <mergeCell ref="A106:B106"/>
    <mergeCell ref="A14:B14"/>
    <mergeCell ref="A15:B15"/>
    <mergeCell ref="A23:B23"/>
    <mergeCell ref="A24:B24"/>
    <mergeCell ref="A25:B25"/>
    <mergeCell ref="A41:B41"/>
    <mergeCell ref="A42:B42"/>
    <mergeCell ref="A43:B43"/>
    <mergeCell ref="A44:B44"/>
    <mergeCell ref="A45:B45"/>
    <mergeCell ref="A70:B70"/>
    <mergeCell ref="A47:B47"/>
    <mergeCell ref="A22:B22"/>
    <mergeCell ref="A86:B86"/>
    <mergeCell ref="A7:B7"/>
    <mergeCell ref="A8:B8"/>
    <mergeCell ref="A9:B9"/>
    <mergeCell ref="A10:B10"/>
    <mergeCell ref="A11:B11"/>
    <mergeCell ref="A1:D1"/>
    <mergeCell ref="A2:D2"/>
    <mergeCell ref="A3:D3"/>
    <mergeCell ref="A5:B5"/>
    <mergeCell ref="A6:B6"/>
    <mergeCell ref="A30:B30"/>
    <mergeCell ref="A108:B108"/>
    <mergeCell ref="A32:B32"/>
    <mergeCell ref="A101:B101"/>
    <mergeCell ref="A26:B26"/>
    <mergeCell ref="A27:B27"/>
    <mergeCell ref="A28:B28"/>
    <mergeCell ref="A29:B29"/>
    <mergeCell ref="A88:B88"/>
    <mergeCell ref="A89:B89"/>
    <mergeCell ref="A90:B90"/>
    <mergeCell ref="A91:B91"/>
    <mergeCell ref="A92:B92"/>
    <mergeCell ref="A110:B110"/>
    <mergeCell ref="A33:B33"/>
    <mergeCell ref="A35:B35"/>
    <mergeCell ref="A36:B36"/>
    <mergeCell ref="A37:B37"/>
    <mergeCell ref="A38:B38"/>
    <mergeCell ref="A39:B39"/>
    <mergeCell ref="A61:B61"/>
    <mergeCell ref="A103:B103"/>
    <mergeCell ref="A105:B105"/>
    <mergeCell ref="A115:B115"/>
    <mergeCell ref="A113:B113"/>
    <mergeCell ref="A114:B114"/>
    <mergeCell ref="A118:B118"/>
    <mergeCell ref="A119:B119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E280"/>
  <sheetViews>
    <sheetView zoomScalePageLayoutView="0" workbookViewId="0" topLeftCell="A247">
      <selection activeCell="G253" sqref="G253"/>
    </sheetView>
  </sheetViews>
  <sheetFormatPr defaultColWidth="9.140625" defaultRowHeight="15"/>
  <cols>
    <col min="1" max="1" width="80.8515625" style="0" customWidth="1"/>
    <col min="2" max="2" width="3.28125" style="0" hidden="1" customWidth="1"/>
    <col min="3" max="3" width="32.7109375" style="0" customWidth="1"/>
  </cols>
  <sheetData>
    <row r="1" spans="1:4" ht="15.75">
      <c r="A1" s="381" t="s">
        <v>230</v>
      </c>
      <c r="B1" s="381"/>
      <c r="C1" s="381"/>
      <c r="D1" s="381"/>
    </row>
    <row r="2" spans="1:4" ht="15.75">
      <c r="A2" s="382" t="s">
        <v>246</v>
      </c>
      <c r="B2" s="382"/>
      <c r="C2" s="382"/>
      <c r="D2" s="382"/>
    </row>
    <row r="3" spans="1:4" s="55" customFormat="1" ht="15.75">
      <c r="A3" s="382" t="s">
        <v>1979</v>
      </c>
      <c r="B3" s="382"/>
      <c r="C3" s="382"/>
      <c r="D3" s="382"/>
    </row>
    <row r="4" spans="1:4" s="55" customFormat="1" ht="15.75">
      <c r="A4" s="107"/>
      <c r="B4" s="107"/>
      <c r="C4" s="89"/>
      <c r="D4" s="89"/>
    </row>
    <row r="5" spans="1:4" ht="30">
      <c r="A5" s="383" t="s">
        <v>229</v>
      </c>
      <c r="B5" s="384"/>
      <c r="C5" s="86" t="s">
        <v>240</v>
      </c>
      <c r="D5" s="85" t="s">
        <v>530</v>
      </c>
    </row>
    <row r="6" spans="1:4" ht="15">
      <c r="A6" s="383" t="s">
        <v>229</v>
      </c>
      <c r="B6" s="384"/>
      <c r="C6" s="72"/>
      <c r="D6" s="72"/>
    </row>
    <row r="7" spans="1:4" ht="15.75" thickBot="1">
      <c r="A7" s="379" t="s">
        <v>0</v>
      </c>
      <c r="B7" s="380"/>
      <c r="C7" s="77"/>
      <c r="D7" s="77"/>
    </row>
    <row r="8" spans="1:4" ht="15">
      <c r="A8" s="435" t="s">
        <v>24</v>
      </c>
      <c r="B8" s="436"/>
      <c r="C8" s="77"/>
      <c r="D8" s="77"/>
    </row>
    <row r="9" spans="1:4" ht="15">
      <c r="A9" s="435" t="s">
        <v>236</v>
      </c>
      <c r="B9" s="436"/>
      <c r="C9" s="77"/>
      <c r="D9" s="77"/>
    </row>
    <row r="10" spans="1:4" ht="15.75" thickBot="1">
      <c r="A10" s="451" t="s">
        <v>281</v>
      </c>
      <c r="B10" s="445"/>
      <c r="C10" s="77" t="s">
        <v>378</v>
      </c>
      <c r="D10" s="77">
        <v>16</v>
      </c>
    </row>
    <row r="11" spans="1:4" ht="15.75" thickBot="1">
      <c r="A11" s="375" t="s">
        <v>29</v>
      </c>
      <c r="B11" s="376"/>
      <c r="C11" s="77"/>
      <c r="D11" s="77"/>
    </row>
    <row r="12" spans="1:4" ht="15">
      <c r="A12" s="433" t="s">
        <v>45</v>
      </c>
      <c r="B12" s="434"/>
      <c r="C12" s="77"/>
      <c r="D12" s="77"/>
    </row>
    <row r="13" spans="1:4" ht="15.75" thickBot="1">
      <c r="A13" s="449" t="s">
        <v>55</v>
      </c>
      <c r="B13" s="450"/>
      <c r="C13" s="77"/>
      <c r="D13" s="77"/>
    </row>
    <row r="14" spans="1:4" ht="15.75" thickBot="1">
      <c r="A14" s="377" t="s">
        <v>56</v>
      </c>
      <c r="B14" s="378"/>
      <c r="C14" s="77"/>
      <c r="D14" s="77"/>
    </row>
    <row r="15" spans="1:4" ht="15.75" thickBot="1">
      <c r="A15" s="375" t="s">
        <v>57</v>
      </c>
      <c r="B15" s="376"/>
      <c r="C15" s="77"/>
      <c r="D15" s="77"/>
    </row>
    <row r="16" spans="1:4" ht="15">
      <c r="A16" s="315" t="s">
        <v>1951</v>
      </c>
      <c r="B16" s="316"/>
      <c r="C16" s="72" t="s">
        <v>309</v>
      </c>
      <c r="D16" s="72">
        <f>3*130</f>
        <v>390</v>
      </c>
    </row>
    <row r="17" spans="1:4" ht="15">
      <c r="A17" s="315" t="s">
        <v>1952</v>
      </c>
      <c r="B17" s="316"/>
      <c r="C17" s="72" t="s">
        <v>309</v>
      </c>
      <c r="D17" s="72">
        <f>4*130</f>
        <v>520</v>
      </c>
    </row>
    <row r="18" spans="1:4" ht="16.5" customHeight="1">
      <c r="A18" s="339" t="s">
        <v>1953</v>
      </c>
      <c r="B18" s="339"/>
      <c r="C18" s="340" t="s">
        <v>309</v>
      </c>
      <c r="D18" s="199">
        <f>2*130</f>
        <v>260</v>
      </c>
    </row>
    <row r="19" spans="1:4" ht="15">
      <c r="A19" s="260" t="s">
        <v>1736</v>
      </c>
      <c r="B19" s="91"/>
      <c r="C19" s="183" t="s">
        <v>279</v>
      </c>
      <c r="D19" s="183">
        <f>130*0.5</f>
        <v>65</v>
      </c>
    </row>
    <row r="20" spans="1:4" ht="15">
      <c r="A20" s="327" t="s">
        <v>1954</v>
      </c>
      <c r="B20" s="91"/>
      <c r="C20" s="72" t="s">
        <v>328</v>
      </c>
      <c r="D20" s="72">
        <f>4*130</f>
        <v>520</v>
      </c>
    </row>
    <row r="21" spans="1:4" ht="15">
      <c r="A21" s="327" t="s">
        <v>791</v>
      </c>
      <c r="B21" s="91"/>
      <c r="C21" s="72" t="s">
        <v>360</v>
      </c>
      <c r="D21" s="72">
        <f>0.4*130</f>
        <v>52</v>
      </c>
    </row>
    <row r="22" spans="1:4" ht="15.75" thickBot="1">
      <c r="A22" s="327" t="s">
        <v>1737</v>
      </c>
      <c r="B22" s="91"/>
      <c r="C22" s="72" t="s">
        <v>279</v>
      </c>
      <c r="D22" s="72">
        <f>130*0.5</f>
        <v>65</v>
      </c>
    </row>
    <row r="23" spans="1:4" ht="15.75" thickBot="1">
      <c r="A23" s="503" t="s">
        <v>1978</v>
      </c>
      <c r="B23" s="504"/>
      <c r="C23" s="72"/>
      <c r="D23" s="72">
        <f>2638.22+10*130</f>
        <v>3938.22</v>
      </c>
    </row>
    <row r="24" spans="1:4" ht="15">
      <c r="A24" s="459" t="s">
        <v>281</v>
      </c>
      <c r="B24" s="460"/>
      <c r="C24" s="181" t="s">
        <v>378</v>
      </c>
      <c r="D24" s="199">
        <v>16</v>
      </c>
    </row>
    <row r="25" spans="1:4" s="73" customFormat="1" ht="15">
      <c r="A25" s="399" t="s">
        <v>2000</v>
      </c>
      <c r="B25" s="400"/>
      <c r="C25" s="72" t="s">
        <v>714</v>
      </c>
      <c r="D25" s="72">
        <f>4+4</f>
        <v>8</v>
      </c>
    </row>
    <row r="26" spans="1:4" s="73" customFormat="1" ht="15" customHeight="1">
      <c r="A26" s="399" t="s">
        <v>2001</v>
      </c>
      <c r="B26" s="400"/>
      <c r="C26" s="72" t="s">
        <v>714</v>
      </c>
      <c r="D26" s="72">
        <f>7+7</f>
        <v>14</v>
      </c>
    </row>
    <row r="27" spans="1:4" s="73" customFormat="1" ht="15">
      <c r="A27" s="399" t="s">
        <v>2018</v>
      </c>
      <c r="B27" s="400"/>
      <c r="C27" s="72" t="s">
        <v>2019</v>
      </c>
      <c r="D27" s="72">
        <v>4</v>
      </c>
    </row>
    <row r="28" spans="1:4" s="73" customFormat="1" ht="30" customHeight="1">
      <c r="A28" s="399" t="s">
        <v>1787</v>
      </c>
      <c r="B28" s="400"/>
      <c r="C28" s="105" t="s">
        <v>1788</v>
      </c>
      <c r="D28" s="72">
        <v>3</v>
      </c>
    </row>
    <row r="29" spans="1:4" s="73" customFormat="1" ht="15">
      <c r="A29" s="400" t="s">
        <v>445</v>
      </c>
      <c r="B29" s="448"/>
      <c r="C29" s="72" t="s">
        <v>328</v>
      </c>
      <c r="D29" s="72">
        <v>2</v>
      </c>
    </row>
    <row r="30" spans="1:4" s="73" customFormat="1" ht="15" customHeight="1">
      <c r="A30" s="400" t="s">
        <v>517</v>
      </c>
      <c r="B30" s="448"/>
      <c r="C30" s="72" t="s">
        <v>518</v>
      </c>
      <c r="D30" s="72">
        <v>1.7</v>
      </c>
    </row>
    <row r="31" spans="1:4" s="73" customFormat="1" ht="15.75" customHeight="1">
      <c r="A31" s="312" t="s">
        <v>496</v>
      </c>
      <c r="B31" s="312"/>
      <c r="C31" s="72" t="s">
        <v>497</v>
      </c>
      <c r="D31" s="72">
        <v>0.5</v>
      </c>
    </row>
    <row r="32" spans="1:4" s="73" customFormat="1" ht="19.5" customHeight="1">
      <c r="A32" s="399" t="s">
        <v>571</v>
      </c>
      <c r="B32" s="400"/>
      <c r="C32" s="105" t="s">
        <v>485</v>
      </c>
      <c r="D32" s="72">
        <v>2</v>
      </c>
    </row>
    <row r="33" spans="1:4" s="73" customFormat="1" ht="19.5" customHeight="1">
      <c r="A33" s="399" t="s">
        <v>2032</v>
      </c>
      <c r="B33" s="400"/>
      <c r="C33" s="105" t="s">
        <v>463</v>
      </c>
      <c r="D33" s="72">
        <v>4</v>
      </c>
    </row>
    <row r="34" spans="1:4" ht="15">
      <c r="A34" s="212" t="s">
        <v>888</v>
      </c>
      <c r="B34" s="116"/>
      <c r="C34" s="72" t="s">
        <v>889</v>
      </c>
      <c r="D34" s="72">
        <v>8</v>
      </c>
    </row>
    <row r="35" spans="1:4" ht="15">
      <c r="A35" s="212" t="s">
        <v>890</v>
      </c>
      <c r="B35" s="116"/>
      <c r="C35" s="72" t="s">
        <v>889</v>
      </c>
      <c r="D35" s="72">
        <v>8</v>
      </c>
    </row>
    <row r="36" spans="1:4" s="73" customFormat="1" ht="19.5" customHeight="1">
      <c r="A36" s="399" t="s">
        <v>733</v>
      </c>
      <c r="B36" s="400"/>
      <c r="C36" s="105" t="s">
        <v>401</v>
      </c>
      <c r="D36" s="72">
        <v>8</v>
      </c>
    </row>
    <row r="37" spans="1:4" s="73" customFormat="1" ht="19.5" customHeight="1">
      <c r="A37" s="399" t="s">
        <v>774</v>
      </c>
      <c r="B37" s="400"/>
      <c r="C37" s="105" t="s">
        <v>342</v>
      </c>
      <c r="D37" s="72">
        <v>3</v>
      </c>
    </row>
    <row r="38" spans="1:4" s="73" customFormat="1" ht="19.5" customHeight="1">
      <c r="A38" s="399" t="s">
        <v>2040</v>
      </c>
      <c r="B38" s="400"/>
      <c r="C38" s="105" t="s">
        <v>2041</v>
      </c>
      <c r="D38" s="72">
        <v>12</v>
      </c>
    </row>
    <row r="39" spans="1:4" s="73" customFormat="1" ht="31.5" customHeight="1">
      <c r="A39" s="399" t="s">
        <v>2042</v>
      </c>
      <c r="B39" s="400"/>
      <c r="C39" s="105" t="s">
        <v>714</v>
      </c>
      <c r="D39" s="72">
        <v>16</v>
      </c>
    </row>
    <row r="40" spans="1:4" s="73" customFormat="1" ht="15">
      <c r="A40" s="400" t="s">
        <v>2043</v>
      </c>
      <c r="B40" s="448"/>
      <c r="C40" s="105" t="s">
        <v>714</v>
      </c>
      <c r="D40" s="72">
        <v>16</v>
      </c>
    </row>
    <row r="41" spans="1:4" s="73" customFormat="1" ht="15" customHeight="1">
      <c r="A41" s="400" t="s">
        <v>2044</v>
      </c>
      <c r="B41" s="448"/>
      <c r="C41" s="72" t="s">
        <v>390</v>
      </c>
      <c r="D41" s="72">
        <v>8</v>
      </c>
    </row>
    <row r="42" spans="1:4" s="73" customFormat="1" ht="15.75" customHeight="1">
      <c r="A42" s="312" t="s">
        <v>2045</v>
      </c>
      <c r="B42" s="312"/>
      <c r="C42" s="72" t="s">
        <v>697</v>
      </c>
      <c r="D42" s="72">
        <v>6</v>
      </c>
    </row>
    <row r="43" spans="1:4" s="73" customFormat="1" ht="15.75" customHeight="1">
      <c r="A43" s="312" t="s">
        <v>2046</v>
      </c>
      <c r="B43" s="313"/>
      <c r="C43" s="72" t="s">
        <v>2047</v>
      </c>
      <c r="D43" s="72">
        <v>4</v>
      </c>
    </row>
    <row r="44" spans="1:4" s="73" customFormat="1" ht="18.75" customHeight="1">
      <c r="A44" s="399" t="s">
        <v>892</v>
      </c>
      <c r="B44" s="400"/>
      <c r="C44" s="105" t="s">
        <v>893</v>
      </c>
      <c r="D44" s="72">
        <v>4.8</v>
      </c>
    </row>
    <row r="45" spans="1:4" s="73" customFormat="1" ht="15">
      <c r="A45" s="400" t="s">
        <v>1286</v>
      </c>
      <c r="B45" s="448"/>
      <c r="C45" s="72" t="s">
        <v>1287</v>
      </c>
      <c r="D45" s="72">
        <v>4.5</v>
      </c>
    </row>
    <row r="46" spans="1:4" s="73" customFormat="1" ht="12.75" customHeight="1">
      <c r="A46" s="400" t="s">
        <v>1829</v>
      </c>
      <c r="B46" s="448"/>
      <c r="C46" s="72" t="s">
        <v>1830</v>
      </c>
      <c r="D46" s="72">
        <v>1.5</v>
      </c>
    </row>
    <row r="47" spans="1:4" s="73" customFormat="1" ht="33" customHeight="1">
      <c r="A47" s="321" t="s">
        <v>905</v>
      </c>
      <c r="B47" s="322"/>
      <c r="C47" s="105" t="s">
        <v>906</v>
      </c>
      <c r="D47" s="72">
        <v>1.2</v>
      </c>
    </row>
    <row r="48" spans="1:4" s="73" customFormat="1" ht="15">
      <c r="A48" s="400" t="s">
        <v>1832</v>
      </c>
      <c r="B48" s="448"/>
      <c r="C48" s="72" t="s">
        <v>1833</v>
      </c>
      <c r="D48" s="72">
        <v>3</v>
      </c>
    </row>
    <row r="49" spans="1:4" s="73" customFormat="1" ht="15">
      <c r="A49" s="436" t="s">
        <v>445</v>
      </c>
      <c r="B49" s="447"/>
      <c r="C49" s="77" t="s">
        <v>328</v>
      </c>
      <c r="D49" s="77">
        <v>2</v>
      </c>
    </row>
    <row r="50" spans="1:4" s="73" customFormat="1" ht="15" customHeight="1">
      <c r="A50" s="436" t="s">
        <v>517</v>
      </c>
      <c r="B50" s="447"/>
      <c r="C50" s="77" t="s">
        <v>518</v>
      </c>
      <c r="D50" s="77">
        <v>1.7</v>
      </c>
    </row>
    <row r="51" spans="1:4" s="73" customFormat="1" ht="15.75" customHeight="1">
      <c r="A51" s="120" t="s">
        <v>496</v>
      </c>
      <c r="B51" s="120"/>
      <c r="C51" s="77" t="s">
        <v>497</v>
      </c>
      <c r="D51" s="77">
        <v>0.5</v>
      </c>
    </row>
    <row r="52" spans="1:4" ht="15.75" customHeight="1" thickBot="1">
      <c r="A52" s="445" t="s">
        <v>63</v>
      </c>
      <c r="B52" s="446"/>
      <c r="C52" s="77"/>
      <c r="D52" s="77"/>
    </row>
    <row r="53" spans="1:4" ht="15.75" thickBot="1">
      <c r="A53" s="387" t="s">
        <v>64</v>
      </c>
      <c r="B53" s="377"/>
      <c r="C53" s="77"/>
      <c r="D53" s="77"/>
    </row>
    <row r="54" spans="1:4" ht="15">
      <c r="A54" s="388" t="s">
        <v>66</v>
      </c>
      <c r="B54" s="389"/>
      <c r="C54" s="77"/>
      <c r="D54" s="77"/>
    </row>
    <row r="55" spans="1:4" ht="15">
      <c r="A55" s="60" t="s">
        <v>68</v>
      </c>
      <c r="B55" s="61"/>
      <c r="C55" s="77"/>
      <c r="D55" s="77"/>
    </row>
    <row r="56" spans="1:5" ht="15" customHeight="1">
      <c r="A56" s="87" t="s">
        <v>327</v>
      </c>
      <c r="B56" s="140"/>
      <c r="C56" s="181" t="s">
        <v>370</v>
      </c>
      <c r="D56" s="199">
        <v>0.5</v>
      </c>
      <c r="E56">
        <v>0.5</v>
      </c>
    </row>
    <row r="57" spans="1:4" s="73" customFormat="1" ht="15" customHeight="1">
      <c r="A57" s="87" t="s">
        <v>2002</v>
      </c>
      <c r="B57" s="88"/>
      <c r="C57" s="72" t="s">
        <v>279</v>
      </c>
      <c r="D57" s="72">
        <v>4</v>
      </c>
    </row>
    <row r="58" spans="1:4" s="73" customFormat="1" ht="15" customHeight="1">
      <c r="A58" s="87" t="s">
        <v>2003</v>
      </c>
      <c r="B58" s="88"/>
      <c r="C58" s="72" t="s">
        <v>279</v>
      </c>
      <c r="D58" s="72">
        <v>1</v>
      </c>
    </row>
    <row r="59" spans="1:4" s="73" customFormat="1" ht="15" customHeight="1">
      <c r="A59" s="87" t="s">
        <v>2004</v>
      </c>
      <c r="B59" s="88"/>
      <c r="C59" s="72" t="s">
        <v>370</v>
      </c>
      <c r="D59" s="72">
        <v>3</v>
      </c>
    </row>
    <row r="60" spans="1:4" s="73" customFormat="1" ht="29.25" customHeight="1">
      <c r="A60" s="87" t="s">
        <v>2005</v>
      </c>
      <c r="B60" s="88"/>
      <c r="C60" s="105" t="s">
        <v>2006</v>
      </c>
      <c r="D60" s="72">
        <f>2+3+2.5+3</f>
        <v>10.5</v>
      </c>
    </row>
    <row r="61" spans="1:4" s="73" customFormat="1" ht="15" customHeight="1">
      <c r="A61" s="87" t="s">
        <v>2007</v>
      </c>
      <c r="B61" s="88"/>
      <c r="C61" s="72" t="s">
        <v>279</v>
      </c>
      <c r="D61" s="72">
        <v>2</v>
      </c>
    </row>
    <row r="62" spans="1:4" s="73" customFormat="1" ht="15" customHeight="1">
      <c r="A62" s="87" t="s">
        <v>2008</v>
      </c>
      <c r="B62" s="88"/>
      <c r="C62" s="72" t="s">
        <v>917</v>
      </c>
      <c r="D62" s="72">
        <f>1+1</f>
        <v>2</v>
      </c>
    </row>
    <row r="63" spans="1:4" ht="15" customHeight="1">
      <c r="A63" s="87" t="s">
        <v>2009</v>
      </c>
      <c r="B63" s="88"/>
      <c r="C63" s="72" t="s">
        <v>360</v>
      </c>
      <c r="D63" s="72">
        <v>2</v>
      </c>
    </row>
    <row r="64" spans="1:4" s="73" customFormat="1" ht="15" customHeight="1">
      <c r="A64" s="87" t="s">
        <v>2020</v>
      </c>
      <c r="B64" s="88"/>
      <c r="C64" s="72" t="s">
        <v>433</v>
      </c>
      <c r="D64" s="72">
        <v>3</v>
      </c>
    </row>
    <row r="65" spans="1:4" s="73" customFormat="1" ht="15" customHeight="1">
      <c r="A65" s="87" t="s">
        <v>453</v>
      </c>
      <c r="B65" s="88"/>
      <c r="C65" s="72" t="s">
        <v>454</v>
      </c>
      <c r="D65" s="72">
        <v>0.6</v>
      </c>
    </row>
    <row r="66" spans="1:4" s="73" customFormat="1" ht="15" customHeight="1">
      <c r="A66" s="87" t="s">
        <v>455</v>
      </c>
      <c r="B66" s="88"/>
      <c r="C66" s="72" t="s">
        <v>400</v>
      </c>
      <c r="D66" s="72">
        <v>0.3</v>
      </c>
    </row>
    <row r="67" spans="1:4" s="73" customFormat="1" ht="15">
      <c r="A67" s="87" t="s">
        <v>460</v>
      </c>
      <c r="B67" s="88"/>
      <c r="C67" s="72" t="s">
        <v>461</v>
      </c>
      <c r="D67" s="72">
        <v>2</v>
      </c>
    </row>
    <row r="68" spans="1:4" s="73" customFormat="1" ht="15" customHeight="1">
      <c r="A68" s="202" t="s">
        <v>470</v>
      </c>
      <c r="B68" s="254"/>
      <c r="C68" s="72" t="s">
        <v>369</v>
      </c>
      <c r="D68" s="72">
        <v>2</v>
      </c>
    </row>
    <row r="69" spans="1:4" s="73" customFormat="1" ht="15" customHeight="1">
      <c r="A69" s="342" t="s">
        <v>513</v>
      </c>
      <c r="B69" s="301"/>
      <c r="C69" s="72" t="s">
        <v>497</v>
      </c>
      <c r="D69" s="72">
        <v>1</v>
      </c>
    </row>
    <row r="70" spans="1:4" s="73" customFormat="1" ht="31.5" customHeight="1">
      <c r="A70" s="401" t="s">
        <v>1806</v>
      </c>
      <c r="B70" s="402"/>
      <c r="C70" s="72" t="s">
        <v>279</v>
      </c>
      <c r="D70" s="72">
        <v>1</v>
      </c>
    </row>
    <row r="71" spans="1:4" s="73" customFormat="1" ht="15" customHeight="1">
      <c r="A71" s="87" t="s">
        <v>637</v>
      </c>
      <c r="B71" s="88"/>
      <c r="C71" s="72" t="s">
        <v>342</v>
      </c>
      <c r="D71" s="72">
        <v>2</v>
      </c>
    </row>
    <row r="72" spans="1:4" s="73" customFormat="1" ht="15" customHeight="1">
      <c r="A72" s="87" t="s">
        <v>638</v>
      </c>
      <c r="B72" s="88"/>
      <c r="C72" s="72" t="s">
        <v>639</v>
      </c>
      <c r="D72" s="72">
        <v>12</v>
      </c>
    </row>
    <row r="73" spans="1:4" s="73" customFormat="1" ht="15">
      <c r="A73" s="87" t="s">
        <v>773</v>
      </c>
      <c r="B73" s="93"/>
      <c r="C73" s="72" t="s">
        <v>784</v>
      </c>
      <c r="D73" s="72">
        <v>2</v>
      </c>
    </row>
    <row r="74" spans="1:4" s="73" customFormat="1" ht="15">
      <c r="A74" s="87" t="s">
        <v>2048</v>
      </c>
      <c r="B74" s="93"/>
      <c r="C74" s="72" t="s">
        <v>2049</v>
      </c>
      <c r="D74" s="72">
        <v>4</v>
      </c>
    </row>
    <row r="75" spans="1:4" s="73" customFormat="1" ht="15" customHeight="1">
      <c r="A75" s="87" t="s">
        <v>2050</v>
      </c>
      <c r="B75" s="88"/>
      <c r="C75" s="72" t="s">
        <v>279</v>
      </c>
      <c r="D75" s="72">
        <v>1</v>
      </c>
    </row>
    <row r="76" spans="1:4" s="73" customFormat="1" ht="15" customHeight="1">
      <c r="A76" s="87" t="s">
        <v>2051</v>
      </c>
      <c r="B76" s="88"/>
      <c r="C76" s="72" t="s">
        <v>1127</v>
      </c>
      <c r="D76" s="72">
        <v>12</v>
      </c>
    </row>
    <row r="77" spans="1:4" s="73" customFormat="1" ht="40.5" customHeight="1">
      <c r="A77" s="92" t="s">
        <v>2100</v>
      </c>
      <c r="B77" s="93"/>
      <c r="C77" s="72" t="s">
        <v>2101</v>
      </c>
      <c r="D77" s="72">
        <v>6</v>
      </c>
    </row>
    <row r="78" spans="1:4" ht="15">
      <c r="A78" s="181" t="s">
        <v>2102</v>
      </c>
      <c r="C78" s="181" t="s">
        <v>737</v>
      </c>
      <c r="D78" s="181">
        <v>1</v>
      </c>
    </row>
    <row r="79" spans="1:4" ht="15">
      <c r="A79" s="181" t="s">
        <v>2103</v>
      </c>
      <c r="C79" s="181" t="s">
        <v>1192</v>
      </c>
      <c r="D79" s="181">
        <v>3</v>
      </c>
    </row>
    <row r="80" spans="1:4" s="73" customFormat="1" ht="15" customHeight="1">
      <c r="A80" s="62" t="s">
        <v>637</v>
      </c>
      <c r="B80" s="63"/>
      <c r="C80" s="77" t="s">
        <v>342</v>
      </c>
      <c r="D80" s="77">
        <v>2</v>
      </c>
    </row>
    <row r="81" spans="1:4" s="73" customFormat="1" ht="15" customHeight="1">
      <c r="A81" s="62" t="s">
        <v>638</v>
      </c>
      <c r="B81" s="63"/>
      <c r="C81" s="77" t="s">
        <v>639</v>
      </c>
      <c r="D81" s="77">
        <v>12</v>
      </c>
    </row>
    <row r="82" spans="1:4" s="73" customFormat="1" ht="15">
      <c r="A82" s="62" t="s">
        <v>460</v>
      </c>
      <c r="B82" s="63"/>
      <c r="C82" s="77" t="s">
        <v>461</v>
      </c>
      <c r="D82" s="77">
        <v>2</v>
      </c>
    </row>
    <row r="83" spans="1:4" s="73" customFormat="1" ht="15" customHeight="1">
      <c r="A83" s="64" t="s">
        <v>470</v>
      </c>
      <c r="B83" s="65"/>
      <c r="C83" s="77" t="s">
        <v>369</v>
      </c>
      <c r="D83" s="77">
        <v>2</v>
      </c>
    </row>
    <row r="84" spans="1:4" s="73" customFormat="1" ht="15" customHeight="1">
      <c r="A84" s="66" t="s">
        <v>513</v>
      </c>
      <c r="B84" s="67"/>
      <c r="C84" s="77" t="s">
        <v>497</v>
      </c>
      <c r="D84" s="77">
        <v>1</v>
      </c>
    </row>
    <row r="85" spans="1:4" ht="15" customHeight="1">
      <c r="A85" s="64" t="s">
        <v>82</v>
      </c>
      <c r="B85" s="65"/>
      <c r="C85" s="77"/>
      <c r="D85" s="77"/>
    </row>
    <row r="86" spans="1:4" ht="15">
      <c r="A86" s="64" t="s">
        <v>84</v>
      </c>
      <c r="B86" s="65"/>
      <c r="C86" s="77"/>
      <c r="D86" s="77"/>
    </row>
    <row r="87" spans="1:4" ht="15" customHeight="1">
      <c r="A87" s="64" t="s">
        <v>86</v>
      </c>
      <c r="B87" s="65"/>
      <c r="C87" s="77"/>
      <c r="D87" s="77"/>
    </row>
    <row r="88" spans="1:4" ht="15" customHeight="1">
      <c r="A88" s="68" t="s">
        <v>88</v>
      </c>
      <c r="B88" s="69"/>
      <c r="C88" s="77"/>
      <c r="D88" s="77"/>
    </row>
    <row r="89" spans="1:4" ht="15">
      <c r="A89" s="390" t="s">
        <v>90</v>
      </c>
      <c r="B89" s="391"/>
      <c r="C89" s="77"/>
      <c r="D89" s="77"/>
    </row>
    <row r="90" spans="1:4" ht="15">
      <c r="A90" s="327" t="s">
        <v>1955</v>
      </c>
      <c r="B90" s="319"/>
      <c r="C90" s="72" t="s">
        <v>279</v>
      </c>
      <c r="D90" s="72">
        <f>0.45*130</f>
        <v>58.5</v>
      </c>
    </row>
    <row r="91" spans="1:4" ht="15">
      <c r="A91" s="327" t="s">
        <v>1956</v>
      </c>
      <c r="B91" s="319"/>
      <c r="C91" s="72" t="s">
        <v>279</v>
      </c>
      <c r="D91" s="72">
        <f>1.35*130</f>
        <v>175.5</v>
      </c>
    </row>
    <row r="92" spans="1:4" ht="15">
      <c r="A92" s="327" t="s">
        <v>1957</v>
      </c>
      <c r="B92" s="319"/>
      <c r="C92" s="72" t="s">
        <v>400</v>
      </c>
      <c r="D92" s="72">
        <f>4*130</f>
        <v>520</v>
      </c>
    </row>
    <row r="93" spans="1:4" ht="15">
      <c r="A93" s="327" t="s">
        <v>1958</v>
      </c>
      <c r="B93" s="319"/>
      <c r="C93" s="72" t="s">
        <v>342</v>
      </c>
      <c r="D93" s="72">
        <f>1.15*130</f>
        <v>149.5</v>
      </c>
    </row>
    <row r="94" spans="1:4" ht="15">
      <c r="A94" s="181" t="s">
        <v>1959</v>
      </c>
      <c r="B94" s="181"/>
      <c r="C94" s="181" t="s">
        <v>347</v>
      </c>
      <c r="D94" s="181">
        <f>2*130*2</f>
        <v>520</v>
      </c>
    </row>
    <row r="95" spans="1:4" ht="15.75" thickBot="1">
      <c r="A95" s="181" t="s">
        <v>1960</v>
      </c>
      <c r="B95" s="181"/>
      <c r="C95" s="181" t="s">
        <v>309</v>
      </c>
      <c r="D95" s="181">
        <f>2*130</f>
        <v>260</v>
      </c>
    </row>
    <row r="96" spans="1:4" ht="27.75" customHeight="1" thickBot="1">
      <c r="A96" s="405" t="s">
        <v>1977</v>
      </c>
      <c r="B96" s="406"/>
      <c r="C96" s="72"/>
      <c r="D96" s="72">
        <f>318.04+130*4</f>
        <v>838.04</v>
      </c>
    </row>
    <row r="97" spans="1:5" ht="15">
      <c r="A97" s="327" t="s">
        <v>1967</v>
      </c>
      <c r="B97" s="91"/>
      <c r="C97" s="72" t="s">
        <v>1296</v>
      </c>
      <c r="D97" s="72">
        <v>260</v>
      </c>
      <c r="E97">
        <v>2</v>
      </c>
    </row>
    <row r="98" spans="1:5" ht="15">
      <c r="A98" s="327" t="s">
        <v>1968</v>
      </c>
      <c r="B98" s="91"/>
      <c r="C98" s="72" t="s">
        <v>346</v>
      </c>
      <c r="D98" s="72">
        <f>0.7*130*2</f>
        <v>182</v>
      </c>
      <c r="E98">
        <v>2</v>
      </c>
    </row>
    <row r="99" spans="1:5" ht="15">
      <c r="A99" s="327" t="s">
        <v>1969</v>
      </c>
      <c r="B99" s="91"/>
      <c r="C99" s="72" t="s">
        <v>1745</v>
      </c>
      <c r="D99" s="72">
        <f>4*130+130*8</f>
        <v>1560</v>
      </c>
      <c r="E99">
        <v>12</v>
      </c>
    </row>
    <row r="100" spans="1:5" ht="15">
      <c r="A100" s="328" t="s">
        <v>822</v>
      </c>
      <c r="B100" s="253"/>
      <c r="C100" s="72" t="s">
        <v>279</v>
      </c>
      <c r="D100" s="72">
        <f>130*0.5</f>
        <v>65</v>
      </c>
      <c r="E100">
        <v>0.5</v>
      </c>
    </row>
    <row r="101" spans="1:5" ht="15">
      <c r="A101" s="327" t="s">
        <v>1970</v>
      </c>
      <c r="B101" s="91"/>
      <c r="C101" s="72" t="s">
        <v>346</v>
      </c>
      <c r="D101" s="72">
        <v>260</v>
      </c>
      <c r="E101">
        <v>2</v>
      </c>
    </row>
    <row r="102" spans="1:5" ht="15">
      <c r="A102" s="327" t="s">
        <v>1971</v>
      </c>
      <c r="B102" s="91"/>
      <c r="C102" s="72" t="s">
        <v>279</v>
      </c>
      <c r="D102" s="72">
        <f>130*2</f>
        <v>260</v>
      </c>
      <c r="E102">
        <v>2</v>
      </c>
    </row>
    <row r="103" spans="1:5" ht="15">
      <c r="A103" s="327" t="s">
        <v>1972</v>
      </c>
      <c r="B103" s="91"/>
      <c r="C103" s="72" t="s">
        <v>279</v>
      </c>
      <c r="D103" s="72">
        <v>65</v>
      </c>
      <c r="E103">
        <v>0.5</v>
      </c>
    </row>
    <row r="104" spans="1:5" ht="15">
      <c r="A104" s="327" t="s">
        <v>1973</v>
      </c>
      <c r="B104" s="91"/>
      <c r="C104" s="72" t="s">
        <v>400</v>
      </c>
      <c r="D104" s="72">
        <v>130</v>
      </c>
      <c r="E104">
        <v>1</v>
      </c>
    </row>
    <row r="105" spans="1:5" ht="15">
      <c r="A105" s="327" t="s">
        <v>1974</v>
      </c>
      <c r="B105" s="91"/>
      <c r="C105" s="72" t="s">
        <v>613</v>
      </c>
      <c r="D105" s="72">
        <v>260</v>
      </c>
      <c r="E105">
        <v>2</v>
      </c>
    </row>
    <row r="106" spans="1:5" ht="15">
      <c r="A106" s="330" t="s">
        <v>1975</v>
      </c>
      <c r="B106" s="91"/>
      <c r="C106" s="72" t="s">
        <v>390</v>
      </c>
      <c r="D106" s="72">
        <v>130</v>
      </c>
      <c r="E106">
        <v>1</v>
      </c>
    </row>
    <row r="107" spans="1:5" ht="15">
      <c r="A107" s="327" t="s">
        <v>1976</v>
      </c>
      <c r="B107" s="91"/>
      <c r="C107" s="72" t="s">
        <v>613</v>
      </c>
      <c r="D107" s="72">
        <f>130*2</f>
        <v>260</v>
      </c>
      <c r="E107">
        <v>2</v>
      </c>
    </row>
    <row r="108" spans="1:5" ht="15.75" customHeight="1">
      <c r="A108" s="424" t="s">
        <v>1993</v>
      </c>
      <c r="B108" s="425"/>
      <c r="C108" s="181" t="s">
        <v>279</v>
      </c>
      <c r="D108" s="199">
        <v>2</v>
      </c>
      <c r="E108">
        <v>2</v>
      </c>
    </row>
    <row r="109" spans="1:4" ht="15" customHeight="1">
      <c r="A109" s="401" t="s">
        <v>2010</v>
      </c>
      <c r="B109" s="402"/>
      <c r="C109" s="72" t="s">
        <v>309</v>
      </c>
      <c r="D109" s="72">
        <v>4</v>
      </c>
    </row>
    <row r="110" spans="1:4" ht="15" customHeight="1">
      <c r="A110" s="402" t="s">
        <v>2011</v>
      </c>
      <c r="B110" s="413"/>
      <c r="C110" s="72" t="s">
        <v>360</v>
      </c>
      <c r="D110" s="72">
        <v>2</v>
      </c>
    </row>
    <row r="111" spans="1:4" ht="15" customHeight="1">
      <c r="A111" s="401" t="s">
        <v>2021</v>
      </c>
      <c r="B111" s="402"/>
      <c r="C111" s="72" t="s">
        <v>429</v>
      </c>
      <c r="D111" s="72">
        <v>2</v>
      </c>
    </row>
    <row r="112" spans="1:4" s="73" customFormat="1" ht="28.5" customHeight="1">
      <c r="A112" s="402" t="s">
        <v>2022</v>
      </c>
      <c r="B112" s="413"/>
      <c r="C112" s="72" t="s">
        <v>328</v>
      </c>
      <c r="D112" s="72">
        <v>1</v>
      </c>
    </row>
    <row r="113" spans="1:4" s="73" customFormat="1" ht="15">
      <c r="A113" s="402" t="s">
        <v>2023</v>
      </c>
      <c r="B113" s="413"/>
      <c r="C113" s="72" t="s">
        <v>328</v>
      </c>
      <c r="D113" s="72">
        <v>3</v>
      </c>
    </row>
    <row r="114" spans="1:4" s="73" customFormat="1" ht="15.75" customHeight="1">
      <c r="A114" s="424" t="s">
        <v>2024</v>
      </c>
      <c r="B114" s="425"/>
      <c r="C114" s="162" t="s">
        <v>2025</v>
      </c>
      <c r="D114" s="162">
        <v>16</v>
      </c>
    </row>
    <row r="115" spans="1:4" s="73" customFormat="1" ht="15.75" customHeight="1">
      <c r="A115" s="312" t="s">
        <v>2026</v>
      </c>
      <c r="B115" s="312"/>
      <c r="C115" s="72" t="s">
        <v>359</v>
      </c>
      <c r="D115" s="72">
        <v>2</v>
      </c>
    </row>
    <row r="116" spans="1:4" s="73" customFormat="1" ht="15.75" customHeight="1">
      <c r="A116" s="312" t="s">
        <v>464</v>
      </c>
      <c r="B116" s="312"/>
      <c r="C116" s="72" t="s">
        <v>279</v>
      </c>
      <c r="D116" s="72">
        <v>1.5</v>
      </c>
    </row>
    <row r="117" spans="1:4" s="73" customFormat="1" ht="15.75" customHeight="1">
      <c r="A117" s="312" t="s">
        <v>486</v>
      </c>
      <c r="B117" s="312"/>
      <c r="C117" s="72" t="s">
        <v>487</v>
      </c>
      <c r="D117" s="72">
        <v>1</v>
      </c>
    </row>
    <row r="118" spans="1:4" s="73" customFormat="1" ht="15.75" customHeight="1">
      <c r="A118" s="312" t="s">
        <v>488</v>
      </c>
      <c r="B118" s="312"/>
      <c r="C118" s="72" t="s">
        <v>370</v>
      </c>
      <c r="D118" s="72">
        <v>1</v>
      </c>
    </row>
    <row r="119" spans="1:4" ht="15">
      <c r="A119" s="181" t="s">
        <v>492</v>
      </c>
      <c r="B119" s="181"/>
      <c r="C119" s="181" t="s">
        <v>493</v>
      </c>
      <c r="D119" s="181">
        <v>6</v>
      </c>
    </row>
    <row r="120" spans="1:4" ht="15">
      <c r="A120" s="299" t="s">
        <v>529</v>
      </c>
      <c r="C120" s="267" t="s">
        <v>279</v>
      </c>
      <c r="D120" s="267">
        <v>0.5</v>
      </c>
    </row>
    <row r="121" spans="1:4" s="73" customFormat="1" ht="15.75" customHeight="1">
      <c r="A121" s="312" t="s">
        <v>535</v>
      </c>
      <c r="B121" s="312"/>
      <c r="C121" s="72" t="s">
        <v>536</v>
      </c>
      <c r="D121" s="72">
        <v>0.5</v>
      </c>
    </row>
    <row r="122" spans="1:4" ht="15">
      <c r="A122" s="181" t="s">
        <v>544</v>
      </c>
      <c r="B122" s="181"/>
      <c r="C122" s="181" t="s">
        <v>400</v>
      </c>
      <c r="D122" s="181">
        <v>2</v>
      </c>
    </row>
    <row r="123" spans="1:4" ht="15">
      <c r="A123" s="181" t="s">
        <v>549</v>
      </c>
      <c r="B123" s="181"/>
      <c r="C123" s="181" t="s">
        <v>360</v>
      </c>
      <c r="D123" s="181">
        <v>4</v>
      </c>
    </row>
    <row r="124" spans="1:4" ht="15" customHeight="1">
      <c r="A124" s="401" t="s">
        <v>2033</v>
      </c>
      <c r="B124" s="402"/>
      <c r="C124" s="72" t="s">
        <v>499</v>
      </c>
      <c r="D124" s="72">
        <f>1.5*2</f>
        <v>3</v>
      </c>
    </row>
    <row r="125" spans="1:4" s="73" customFormat="1" ht="28.5" customHeight="1">
      <c r="A125" s="402" t="s">
        <v>2034</v>
      </c>
      <c r="B125" s="413"/>
      <c r="C125" s="72" t="s">
        <v>577</v>
      </c>
      <c r="D125" s="72">
        <v>3</v>
      </c>
    </row>
    <row r="126" spans="1:4" s="73" customFormat="1" ht="15">
      <c r="A126" s="402" t="s">
        <v>2035</v>
      </c>
      <c r="B126" s="413"/>
      <c r="C126" s="72" t="s">
        <v>279</v>
      </c>
      <c r="D126" s="72">
        <v>1.5</v>
      </c>
    </row>
    <row r="127" spans="1:4" s="73" customFormat="1" ht="15" customHeight="1">
      <c r="A127" s="401" t="s">
        <v>664</v>
      </c>
      <c r="B127" s="402"/>
      <c r="C127" s="72" t="s">
        <v>665</v>
      </c>
      <c r="D127" s="72">
        <v>24</v>
      </c>
    </row>
    <row r="128" spans="1:4" s="73" customFormat="1" ht="28.5" customHeight="1">
      <c r="A128" s="402" t="s">
        <v>668</v>
      </c>
      <c r="B128" s="413"/>
      <c r="C128" s="72" t="s">
        <v>347</v>
      </c>
      <c r="D128" s="72">
        <v>4</v>
      </c>
    </row>
    <row r="129" spans="1:4" s="73" customFormat="1" ht="15">
      <c r="A129" s="402" t="s">
        <v>683</v>
      </c>
      <c r="B129" s="413"/>
      <c r="C129" s="72" t="s">
        <v>682</v>
      </c>
      <c r="D129" s="72">
        <v>9</v>
      </c>
    </row>
    <row r="130" spans="1:4" s="73" customFormat="1" ht="15.75" customHeight="1">
      <c r="A130" s="424" t="s">
        <v>686</v>
      </c>
      <c r="B130" s="425"/>
      <c r="C130" s="162" t="s">
        <v>243</v>
      </c>
      <c r="D130" s="162">
        <v>1.5</v>
      </c>
    </row>
    <row r="131" spans="1:4" s="73" customFormat="1" ht="33" customHeight="1">
      <c r="A131" s="158" t="s">
        <v>711</v>
      </c>
      <c r="B131" s="158"/>
      <c r="C131" s="72" t="s">
        <v>709</v>
      </c>
      <c r="D131" s="72">
        <v>6</v>
      </c>
    </row>
    <row r="132" spans="1:4" s="73" customFormat="1" ht="15" customHeight="1">
      <c r="A132" s="401" t="s">
        <v>2052</v>
      </c>
      <c r="B132" s="402"/>
      <c r="C132" s="72" t="s">
        <v>461</v>
      </c>
      <c r="D132" s="72">
        <v>3</v>
      </c>
    </row>
    <row r="133" spans="1:4" ht="15">
      <c r="A133" s="301" t="s">
        <v>2053</v>
      </c>
      <c r="C133" t="s">
        <v>342</v>
      </c>
      <c r="D133">
        <v>1</v>
      </c>
    </row>
    <row r="134" spans="1:4" s="73" customFormat="1" ht="15" customHeight="1">
      <c r="A134" s="401" t="s">
        <v>2058</v>
      </c>
      <c r="B134" s="402"/>
      <c r="C134" s="72" t="s">
        <v>2059</v>
      </c>
      <c r="D134" s="72">
        <v>2</v>
      </c>
    </row>
    <row r="135" spans="1:4" s="73" customFormat="1" ht="15">
      <c r="A135" s="182" t="s">
        <v>2060</v>
      </c>
      <c r="B135" s="72"/>
      <c r="C135" s="72" t="s">
        <v>1517</v>
      </c>
      <c r="D135" s="72">
        <v>8</v>
      </c>
    </row>
    <row r="136" spans="1:4" s="73" customFormat="1" ht="15">
      <c r="A136" s="402" t="s">
        <v>2061</v>
      </c>
      <c r="B136" s="413"/>
      <c r="C136" s="72" t="s">
        <v>279</v>
      </c>
      <c r="D136" s="72">
        <v>1</v>
      </c>
    </row>
    <row r="137" spans="1:4" s="73" customFormat="1" ht="15.75" customHeight="1">
      <c r="A137" s="424" t="s">
        <v>2062</v>
      </c>
      <c r="B137" s="425"/>
      <c r="C137" s="162" t="s">
        <v>2049</v>
      </c>
      <c r="D137" s="162">
        <v>4</v>
      </c>
    </row>
    <row r="138" spans="1:4" s="73" customFormat="1" ht="31.5" customHeight="1">
      <c r="A138" s="401" t="s">
        <v>2066</v>
      </c>
      <c r="B138" s="402"/>
      <c r="C138" s="72" t="s">
        <v>2067</v>
      </c>
      <c r="D138" s="72">
        <f>16+6</f>
        <v>22</v>
      </c>
    </row>
    <row r="139" spans="1:4" s="73" customFormat="1" ht="15">
      <c r="A139" s="182" t="s">
        <v>2068</v>
      </c>
      <c r="B139" s="72"/>
      <c r="C139" s="72" t="s">
        <v>378</v>
      </c>
      <c r="D139" s="72">
        <v>2</v>
      </c>
    </row>
    <row r="140" spans="1:4" s="73" customFormat="1" ht="15">
      <c r="A140" s="402" t="s">
        <v>2069</v>
      </c>
      <c r="B140" s="413"/>
      <c r="C140" s="72" t="s">
        <v>2070</v>
      </c>
      <c r="D140" s="72">
        <v>4</v>
      </c>
    </row>
    <row r="141" spans="1:4" s="73" customFormat="1" ht="15" customHeight="1">
      <c r="A141" s="87" t="s">
        <v>900</v>
      </c>
      <c r="B141" s="88"/>
      <c r="C141" s="72" t="s">
        <v>309</v>
      </c>
      <c r="D141" s="72">
        <v>2</v>
      </c>
    </row>
    <row r="142" spans="1:4" s="73" customFormat="1" ht="29.25" customHeight="1">
      <c r="A142" s="312" t="s">
        <v>1941</v>
      </c>
      <c r="B142" s="318"/>
      <c r="C142" s="72" t="s">
        <v>309</v>
      </c>
      <c r="D142" s="72">
        <v>3</v>
      </c>
    </row>
    <row r="143" spans="1:4" s="94" customFormat="1" ht="15.75" customHeight="1">
      <c r="A143" s="323" t="s">
        <v>2071</v>
      </c>
      <c r="B143" s="323"/>
      <c r="C143" s="199" t="s">
        <v>279</v>
      </c>
      <c r="D143" s="199">
        <v>1.5</v>
      </c>
    </row>
    <row r="144" spans="1:4" s="73" customFormat="1" ht="15.75" customHeight="1">
      <c r="A144" s="312" t="s">
        <v>2072</v>
      </c>
      <c r="B144" s="312"/>
      <c r="C144" s="72" t="s">
        <v>279</v>
      </c>
      <c r="D144" s="72">
        <v>0.5</v>
      </c>
    </row>
    <row r="145" spans="1:4" s="73" customFormat="1" ht="15.75" customHeight="1">
      <c r="A145" s="312" t="s">
        <v>2073</v>
      </c>
      <c r="B145" s="312"/>
      <c r="C145" s="72" t="s">
        <v>390</v>
      </c>
      <c r="D145" s="72">
        <v>1</v>
      </c>
    </row>
    <row r="146" spans="1:4" s="73" customFormat="1" ht="14.25" customHeight="1">
      <c r="A146" s="72" t="s">
        <v>2074</v>
      </c>
      <c r="B146" s="72"/>
      <c r="C146" s="72" t="s">
        <v>2075</v>
      </c>
      <c r="D146" s="72">
        <v>2</v>
      </c>
    </row>
    <row r="147" spans="1:4" s="73" customFormat="1" ht="28.5">
      <c r="A147" s="299" t="s">
        <v>2076</v>
      </c>
      <c r="C147" s="267" t="s">
        <v>360</v>
      </c>
      <c r="D147" s="267">
        <v>1.5</v>
      </c>
    </row>
    <row r="148" spans="1:4" s="73" customFormat="1" ht="30.75" customHeight="1">
      <c r="A148" s="312" t="s">
        <v>2077</v>
      </c>
      <c r="B148" s="312"/>
      <c r="C148" s="72" t="s">
        <v>592</v>
      </c>
      <c r="D148" s="72">
        <v>2</v>
      </c>
    </row>
    <row r="149" spans="1:4" s="73" customFormat="1" ht="30">
      <c r="A149" s="105" t="s">
        <v>2078</v>
      </c>
      <c r="B149" s="72"/>
      <c r="C149" s="72" t="s">
        <v>592</v>
      </c>
      <c r="D149" s="72">
        <v>4</v>
      </c>
    </row>
    <row r="150" spans="1:4" s="73" customFormat="1" ht="15">
      <c r="A150" s="162" t="s">
        <v>2079</v>
      </c>
      <c r="B150" s="89"/>
      <c r="C150" s="72" t="s">
        <v>1136</v>
      </c>
      <c r="D150" s="72">
        <v>10</v>
      </c>
    </row>
    <row r="151" spans="1:4" s="73" customFormat="1" ht="15">
      <c r="A151" s="162" t="s">
        <v>2080</v>
      </c>
      <c r="B151" s="89"/>
      <c r="C151" s="72" t="s">
        <v>592</v>
      </c>
      <c r="D151" s="72">
        <v>2</v>
      </c>
    </row>
    <row r="152" spans="1:4" s="73" customFormat="1" ht="30">
      <c r="A152" s="255" t="s">
        <v>2081</v>
      </c>
      <c r="B152" s="89"/>
      <c r="C152" s="105" t="s">
        <v>1833</v>
      </c>
      <c r="D152" s="72">
        <v>6</v>
      </c>
    </row>
    <row r="153" spans="1:4" s="73" customFormat="1" ht="15">
      <c r="A153" s="402" t="s">
        <v>907</v>
      </c>
      <c r="B153" s="413"/>
      <c r="C153" s="72" t="s">
        <v>908</v>
      </c>
      <c r="D153" s="72">
        <v>2.25</v>
      </c>
    </row>
    <row r="154" spans="1:4" s="73" customFormat="1" ht="18.75" customHeight="1">
      <c r="A154" s="321" t="s">
        <v>2082</v>
      </c>
      <c r="B154" s="116"/>
      <c r="C154" s="72" t="s">
        <v>360</v>
      </c>
      <c r="D154" s="72">
        <v>1</v>
      </c>
    </row>
    <row r="155" spans="1:4" s="73" customFormat="1" ht="18.75" customHeight="1">
      <c r="A155" s="321" t="s">
        <v>2083</v>
      </c>
      <c r="B155" s="116"/>
      <c r="C155" s="72" t="s">
        <v>378</v>
      </c>
      <c r="D155" s="72">
        <v>2</v>
      </c>
    </row>
    <row r="156" spans="1:4" s="73" customFormat="1" ht="33.75" customHeight="1">
      <c r="A156" s="321" t="s">
        <v>2084</v>
      </c>
      <c r="B156" s="116"/>
      <c r="C156" s="72" t="s">
        <v>360</v>
      </c>
      <c r="D156" s="72">
        <v>1</v>
      </c>
    </row>
    <row r="157" spans="1:4" s="73" customFormat="1" ht="29.25" customHeight="1">
      <c r="A157" s="321" t="s">
        <v>2085</v>
      </c>
      <c r="B157" s="116"/>
      <c r="C157" s="72" t="s">
        <v>279</v>
      </c>
      <c r="D157" s="72">
        <v>0.5</v>
      </c>
    </row>
    <row r="158" spans="1:4" s="73" customFormat="1" ht="33" customHeight="1">
      <c r="A158" s="321" t="s">
        <v>2086</v>
      </c>
      <c r="B158" s="116"/>
      <c r="C158" s="72" t="s">
        <v>2087</v>
      </c>
      <c r="D158" s="72">
        <v>4</v>
      </c>
    </row>
    <row r="159" spans="1:4" s="73" customFormat="1" ht="15">
      <c r="A159" s="72" t="s">
        <v>2088</v>
      </c>
      <c r="B159" s="89"/>
      <c r="C159" s="183" t="s">
        <v>328</v>
      </c>
      <c r="D159" s="183">
        <v>1.5</v>
      </c>
    </row>
    <row r="160" spans="1:4" s="73" customFormat="1" ht="15">
      <c r="A160" s="72" t="s">
        <v>2089</v>
      </c>
      <c r="B160" s="89"/>
      <c r="C160" s="183" t="s">
        <v>433</v>
      </c>
      <c r="D160" s="183">
        <v>1</v>
      </c>
    </row>
    <row r="161" spans="1:4" s="73" customFormat="1" ht="45">
      <c r="A161" s="105" t="s">
        <v>2090</v>
      </c>
      <c r="B161" s="89"/>
      <c r="C161" s="256" t="s">
        <v>2091</v>
      </c>
      <c r="D161" s="183">
        <v>13</v>
      </c>
    </row>
    <row r="162" spans="1:4" s="73" customFormat="1" ht="15" customHeight="1">
      <c r="A162" s="87" t="s">
        <v>2104</v>
      </c>
      <c r="B162" s="88"/>
      <c r="C162" s="72" t="s">
        <v>433</v>
      </c>
      <c r="D162" s="72">
        <v>4</v>
      </c>
    </row>
    <row r="163" spans="1:4" s="73" customFormat="1" ht="15" customHeight="1">
      <c r="A163" s="87" t="s">
        <v>2105</v>
      </c>
      <c r="B163" s="88"/>
      <c r="C163" s="72" t="s">
        <v>2106</v>
      </c>
      <c r="D163" s="72">
        <v>2</v>
      </c>
    </row>
    <row r="164" spans="1:4" s="73" customFormat="1" ht="15">
      <c r="A164" s="327" t="s">
        <v>2107</v>
      </c>
      <c r="B164" s="91"/>
      <c r="C164" s="72" t="s">
        <v>279</v>
      </c>
      <c r="D164" s="111">
        <v>1</v>
      </c>
    </row>
    <row r="165" spans="1:4" s="73" customFormat="1" ht="29.25" customHeight="1">
      <c r="A165" s="312" t="s">
        <v>1307</v>
      </c>
      <c r="B165" s="318"/>
      <c r="C165" s="105" t="s">
        <v>1308</v>
      </c>
      <c r="D165" s="72">
        <v>1.8</v>
      </c>
    </row>
    <row r="166" spans="1:4" s="73" customFormat="1" ht="15">
      <c r="A166" s="402" t="s">
        <v>2108</v>
      </c>
      <c r="B166" s="413"/>
      <c r="C166" s="72" t="s">
        <v>429</v>
      </c>
      <c r="D166" s="72">
        <v>2</v>
      </c>
    </row>
    <row r="167" spans="1:4" s="73" customFormat="1" ht="18" customHeight="1">
      <c r="A167" s="312" t="s">
        <v>1089</v>
      </c>
      <c r="B167" s="318"/>
      <c r="C167" s="72" t="s">
        <v>1090</v>
      </c>
      <c r="D167" s="72">
        <v>1.5</v>
      </c>
    </row>
    <row r="168" spans="1:4" s="73" customFormat="1" ht="29.25" customHeight="1">
      <c r="A168" s="312" t="s">
        <v>2109</v>
      </c>
      <c r="B168" s="318"/>
      <c r="C168" s="72" t="s">
        <v>279</v>
      </c>
      <c r="D168" s="72">
        <v>0.5</v>
      </c>
    </row>
    <row r="169" spans="1:4" s="73" customFormat="1" ht="30" customHeight="1">
      <c r="A169" s="312" t="s">
        <v>2110</v>
      </c>
      <c r="B169" s="312"/>
      <c r="C169" s="72" t="s">
        <v>357</v>
      </c>
      <c r="D169" s="72">
        <v>1</v>
      </c>
    </row>
    <row r="170" spans="1:4" s="73" customFormat="1" ht="15" customHeight="1">
      <c r="A170" s="202" t="s">
        <v>1091</v>
      </c>
      <c r="B170" s="254"/>
      <c r="C170" s="105" t="s">
        <v>1092</v>
      </c>
      <c r="D170" s="72">
        <v>1.5</v>
      </c>
    </row>
    <row r="171" spans="1:4" s="73" customFormat="1" ht="15.75" customHeight="1">
      <c r="A171" s="312" t="s">
        <v>2111</v>
      </c>
      <c r="B171" s="312"/>
      <c r="C171" s="72" t="s">
        <v>400</v>
      </c>
      <c r="D171" s="72">
        <v>0.5</v>
      </c>
    </row>
    <row r="172" spans="1:4" s="73" customFormat="1" ht="14.25" customHeight="1">
      <c r="A172" s="72" t="s">
        <v>2112</v>
      </c>
      <c r="B172" s="72"/>
      <c r="C172" s="72" t="s">
        <v>400</v>
      </c>
      <c r="D172" s="72">
        <v>1</v>
      </c>
    </row>
    <row r="173" spans="1:4" s="73" customFormat="1" ht="28.5">
      <c r="A173" s="299" t="s">
        <v>2113</v>
      </c>
      <c r="C173" s="267" t="s">
        <v>516</v>
      </c>
      <c r="D173" s="267">
        <v>1</v>
      </c>
    </row>
    <row r="174" spans="1:4" s="73" customFormat="1" ht="30.75" customHeight="1">
      <c r="A174" s="312" t="s">
        <v>2114</v>
      </c>
      <c r="B174" s="312"/>
      <c r="C174" s="72" t="s">
        <v>724</v>
      </c>
      <c r="D174" s="72">
        <v>1</v>
      </c>
    </row>
    <row r="175" spans="1:4" s="73" customFormat="1" ht="15">
      <c r="A175" s="105" t="s">
        <v>1849</v>
      </c>
      <c r="B175" s="72"/>
      <c r="C175" s="72" t="s">
        <v>613</v>
      </c>
      <c r="D175" s="72">
        <v>2</v>
      </c>
    </row>
    <row r="176" spans="1:4" s="73" customFormat="1" ht="15">
      <c r="A176" s="162" t="s">
        <v>2115</v>
      </c>
      <c r="B176" s="89"/>
      <c r="C176" s="72" t="s">
        <v>917</v>
      </c>
      <c r="D176" s="72">
        <v>6</v>
      </c>
    </row>
    <row r="177" spans="1:4" s="73" customFormat="1" ht="15">
      <c r="A177" s="162" t="s">
        <v>2116</v>
      </c>
      <c r="B177" s="89"/>
      <c r="C177" s="72" t="s">
        <v>917</v>
      </c>
      <c r="D177" s="72">
        <v>16</v>
      </c>
    </row>
    <row r="178" spans="1:4" s="73" customFormat="1" ht="15">
      <c r="A178" s="402" t="s">
        <v>1093</v>
      </c>
      <c r="B178" s="413"/>
      <c r="C178" s="72" t="s">
        <v>1094</v>
      </c>
      <c r="D178" s="72">
        <v>1.1</v>
      </c>
    </row>
    <row r="179" spans="1:4" s="73" customFormat="1" ht="27.75" customHeight="1">
      <c r="A179" s="402" t="s">
        <v>2117</v>
      </c>
      <c r="B179" s="413"/>
      <c r="C179" s="72" t="s">
        <v>400</v>
      </c>
      <c r="D179" s="72">
        <v>1.5</v>
      </c>
    </row>
    <row r="180" spans="1:4" s="73" customFormat="1" ht="30" customHeight="1">
      <c r="A180" s="105" t="s">
        <v>2118</v>
      </c>
      <c r="B180" s="89"/>
      <c r="C180" s="183" t="s">
        <v>279</v>
      </c>
      <c r="D180" s="183">
        <v>1</v>
      </c>
    </row>
    <row r="181" spans="1:4" s="73" customFormat="1" ht="18.75" customHeight="1">
      <c r="A181" s="321" t="s">
        <v>2119</v>
      </c>
      <c r="B181" s="116"/>
      <c r="C181" s="72" t="s">
        <v>724</v>
      </c>
      <c r="D181" s="72">
        <v>6</v>
      </c>
    </row>
    <row r="182" spans="1:4" s="73" customFormat="1" ht="19.5" customHeight="1">
      <c r="A182" s="321" t="s">
        <v>2120</v>
      </c>
      <c r="B182" s="116"/>
      <c r="C182" s="72" t="s">
        <v>279</v>
      </c>
      <c r="D182" s="72">
        <v>3</v>
      </c>
    </row>
    <row r="183" spans="1:4" s="73" customFormat="1" ht="15.75" customHeight="1">
      <c r="A183" s="321" t="s">
        <v>2121</v>
      </c>
      <c r="B183" s="116"/>
      <c r="C183" s="72" t="s">
        <v>378</v>
      </c>
      <c r="D183" s="72">
        <v>2</v>
      </c>
    </row>
    <row r="184" spans="1:4" s="73" customFormat="1" ht="19.5" customHeight="1">
      <c r="A184" s="321" t="s">
        <v>2122</v>
      </c>
      <c r="B184" s="116"/>
      <c r="C184" s="72" t="s">
        <v>378</v>
      </c>
      <c r="D184" s="72">
        <v>2</v>
      </c>
    </row>
    <row r="185" spans="1:4" s="73" customFormat="1" ht="15">
      <c r="A185" s="72" t="s">
        <v>2123</v>
      </c>
      <c r="B185" s="89"/>
      <c r="C185" s="183" t="s">
        <v>400</v>
      </c>
      <c r="D185" s="183">
        <v>1</v>
      </c>
    </row>
    <row r="186" spans="1:4" s="73" customFormat="1" ht="15">
      <c r="A186" s="72" t="s">
        <v>2124</v>
      </c>
      <c r="B186" s="89"/>
      <c r="C186" s="183" t="s">
        <v>400</v>
      </c>
      <c r="D186" s="183">
        <v>0.5</v>
      </c>
    </row>
    <row r="187" spans="1:4" s="73" customFormat="1" ht="15.75" customHeight="1">
      <c r="A187" s="120" t="s">
        <v>464</v>
      </c>
      <c r="B187" s="120"/>
      <c r="C187" s="77" t="s">
        <v>279</v>
      </c>
      <c r="D187" s="77">
        <v>1.5</v>
      </c>
    </row>
    <row r="188" spans="1:4" s="73" customFormat="1" ht="15.75" customHeight="1">
      <c r="A188" s="120" t="s">
        <v>486</v>
      </c>
      <c r="B188" s="120"/>
      <c r="C188" s="77" t="s">
        <v>487</v>
      </c>
      <c r="D188" s="77">
        <v>1</v>
      </c>
    </row>
    <row r="189" spans="1:4" s="73" customFormat="1" ht="15.75" customHeight="1">
      <c r="A189" s="120" t="s">
        <v>488</v>
      </c>
      <c r="B189" s="120"/>
      <c r="C189" s="77" t="s">
        <v>370</v>
      </c>
      <c r="D189" s="77">
        <v>1</v>
      </c>
    </row>
    <row r="190" spans="1:4" ht="15">
      <c r="A190" s="77" t="s">
        <v>492</v>
      </c>
      <c r="B190" s="77"/>
      <c r="C190" s="77" t="s">
        <v>493</v>
      </c>
      <c r="D190" s="77">
        <v>6</v>
      </c>
    </row>
    <row r="191" spans="1:4" ht="15">
      <c r="A191" s="101" t="s">
        <v>529</v>
      </c>
      <c r="B191" s="76"/>
      <c r="C191" s="102" t="s">
        <v>279</v>
      </c>
      <c r="D191" s="102">
        <v>0.5</v>
      </c>
    </row>
    <row r="192" spans="1:4" s="73" customFormat="1" ht="15.75" customHeight="1">
      <c r="A192" s="120" t="s">
        <v>535</v>
      </c>
      <c r="B192" s="120"/>
      <c r="C192" s="77" t="s">
        <v>536</v>
      </c>
      <c r="D192" s="77">
        <v>0.5</v>
      </c>
    </row>
    <row r="193" spans="1:4" ht="15">
      <c r="A193" s="77" t="s">
        <v>544</v>
      </c>
      <c r="B193" s="77"/>
      <c r="C193" s="77" t="s">
        <v>400</v>
      </c>
      <c r="D193" s="77">
        <v>2</v>
      </c>
    </row>
    <row r="194" spans="1:4" ht="15">
      <c r="A194" s="77" t="s">
        <v>549</v>
      </c>
      <c r="B194" s="77"/>
      <c r="C194" s="77" t="s">
        <v>360</v>
      </c>
      <c r="D194" s="77">
        <v>4</v>
      </c>
    </row>
    <row r="195" spans="1:4" ht="15">
      <c r="A195" s="77"/>
      <c r="B195" s="75"/>
      <c r="C195" s="84"/>
      <c r="D195" s="84"/>
    </row>
    <row r="196" spans="1:4" ht="15">
      <c r="A196" s="77"/>
      <c r="B196" s="75"/>
      <c r="C196" s="84"/>
      <c r="D196" s="84"/>
    </row>
    <row r="197" spans="1:4" ht="15.75" thickBot="1">
      <c r="A197" s="452" t="s">
        <v>99</v>
      </c>
      <c r="B197" s="505"/>
      <c r="C197" s="84"/>
      <c r="D197" s="84"/>
    </row>
    <row r="198" spans="1:4" ht="30.75" customHeight="1" thickBot="1">
      <c r="A198" s="501" t="s">
        <v>307</v>
      </c>
      <c r="B198" s="502"/>
      <c r="C198" s="78" t="s">
        <v>420</v>
      </c>
      <c r="D198" s="80" t="s">
        <v>422</v>
      </c>
    </row>
    <row r="199" spans="1:4" ht="15.75" thickBot="1">
      <c r="A199" s="377" t="s">
        <v>101</v>
      </c>
      <c r="B199" s="378"/>
      <c r="C199" s="77"/>
      <c r="D199" s="77"/>
    </row>
    <row r="200" spans="1:4" ht="15.75" thickBot="1">
      <c r="A200" s="443" t="s">
        <v>102</v>
      </c>
      <c r="B200" s="375"/>
      <c r="C200" s="77" t="s">
        <v>243</v>
      </c>
      <c r="D200" s="77"/>
    </row>
    <row r="201" spans="1:4" ht="15">
      <c r="A201" s="181" t="s">
        <v>1961</v>
      </c>
      <c r="B201" s="181"/>
      <c r="C201" s="181"/>
      <c r="D201" s="181">
        <f>0.4*130</f>
        <v>52</v>
      </c>
    </row>
    <row r="202" spans="1:4" ht="15">
      <c r="A202" s="181" t="s">
        <v>1962</v>
      </c>
      <c r="B202" s="181"/>
      <c r="C202" s="181" t="s">
        <v>243</v>
      </c>
      <c r="D202" s="181">
        <f>0.2*130</f>
        <v>26</v>
      </c>
    </row>
    <row r="203" spans="1:4" ht="15">
      <c r="A203" s="181" t="s">
        <v>1963</v>
      </c>
      <c r="B203" s="181"/>
      <c r="C203" s="181" t="s">
        <v>243</v>
      </c>
      <c r="D203" s="181">
        <f>2+130</f>
        <v>132</v>
      </c>
    </row>
    <row r="204" spans="1:4" ht="15">
      <c r="A204" s="181" t="s">
        <v>1964</v>
      </c>
      <c r="B204" s="181"/>
      <c r="C204" s="181" t="s">
        <v>243</v>
      </c>
      <c r="D204" s="181">
        <f>2*130</f>
        <v>260</v>
      </c>
    </row>
    <row r="205" spans="1:4" ht="15">
      <c r="A205" s="181" t="s">
        <v>1965</v>
      </c>
      <c r="B205" s="181"/>
      <c r="C205" s="181" t="s">
        <v>243</v>
      </c>
      <c r="D205" s="181">
        <v>130</v>
      </c>
    </row>
    <row r="206" spans="1:4" ht="15.75" thickBot="1">
      <c r="A206" s="327" t="s">
        <v>1966</v>
      </c>
      <c r="B206" s="320"/>
      <c r="C206" s="72" t="s">
        <v>243</v>
      </c>
      <c r="D206" s="72">
        <f>0.5*130</f>
        <v>65</v>
      </c>
    </row>
    <row r="207" spans="1:4" ht="15">
      <c r="A207" s="525" t="s">
        <v>1992</v>
      </c>
      <c r="B207" s="526"/>
      <c r="C207" s="72"/>
      <c r="D207" s="72">
        <f>110.16+130</f>
        <v>240.16</v>
      </c>
    </row>
    <row r="208" spans="1:5" ht="15">
      <c r="A208" s="327" t="s">
        <v>1980</v>
      </c>
      <c r="B208" s="325"/>
      <c r="C208" s="72" t="s">
        <v>243</v>
      </c>
      <c r="D208" s="72">
        <f>130*1.5</f>
        <v>195</v>
      </c>
      <c r="E208">
        <v>1.5</v>
      </c>
    </row>
    <row r="209" spans="1:5" ht="15">
      <c r="A209" s="327" t="s">
        <v>1981</v>
      </c>
      <c r="B209" s="325"/>
      <c r="C209" s="72" t="s">
        <v>243</v>
      </c>
      <c r="D209" s="72">
        <v>32.5</v>
      </c>
      <c r="E209">
        <v>0.25</v>
      </c>
    </row>
    <row r="210" spans="1:5" ht="15">
      <c r="A210" s="327" t="s">
        <v>1982</v>
      </c>
      <c r="B210" s="325"/>
      <c r="C210" s="72" t="s">
        <v>243</v>
      </c>
      <c r="D210" s="72">
        <v>65</v>
      </c>
      <c r="E210">
        <v>0.5</v>
      </c>
    </row>
    <row r="211" spans="1:4" ht="15">
      <c r="A211" s="327" t="s">
        <v>1983</v>
      </c>
      <c r="B211" s="325"/>
      <c r="C211" s="72" t="s">
        <v>243</v>
      </c>
      <c r="D211" s="72">
        <f>130*1.5</f>
        <v>195</v>
      </c>
    </row>
    <row r="212" spans="1:5" ht="15">
      <c r="A212" s="327" t="s">
        <v>1984</v>
      </c>
      <c r="B212" s="325"/>
      <c r="C212" s="72" t="s">
        <v>243</v>
      </c>
      <c r="D212" s="72">
        <v>32.5</v>
      </c>
      <c r="E212">
        <v>0.25</v>
      </c>
    </row>
    <row r="213" spans="1:5" ht="15">
      <c r="A213" s="327" t="s">
        <v>1985</v>
      </c>
      <c r="B213" s="325"/>
      <c r="C213" s="72" t="s">
        <v>243</v>
      </c>
      <c r="D213" s="72">
        <v>130</v>
      </c>
      <c r="E213">
        <v>1</v>
      </c>
    </row>
    <row r="214" spans="1:5" ht="15">
      <c r="A214" s="327" t="s">
        <v>1986</v>
      </c>
      <c r="B214" s="325"/>
      <c r="C214" s="72" t="s">
        <v>243</v>
      </c>
      <c r="D214" s="72">
        <v>32.5</v>
      </c>
      <c r="E214">
        <v>0.25</v>
      </c>
    </row>
    <row r="215" spans="1:5" ht="28.5">
      <c r="A215" s="327" t="s">
        <v>1987</v>
      </c>
      <c r="B215" s="325"/>
      <c r="C215" s="72" t="s">
        <v>243</v>
      </c>
      <c r="D215" s="72">
        <f>130*3</f>
        <v>390</v>
      </c>
      <c r="E215">
        <v>3</v>
      </c>
    </row>
    <row r="216" spans="1:5" ht="15">
      <c r="A216" s="327" t="s">
        <v>1988</v>
      </c>
      <c r="B216" s="325"/>
      <c r="C216" s="72" t="s">
        <v>243</v>
      </c>
      <c r="D216" s="72">
        <v>32.5</v>
      </c>
      <c r="E216">
        <v>0.25</v>
      </c>
    </row>
    <row r="217" spans="1:5" ht="15">
      <c r="A217" s="327" t="s">
        <v>1989</v>
      </c>
      <c r="B217" s="325"/>
      <c r="C217" s="72" t="s">
        <v>243</v>
      </c>
      <c r="D217" s="72">
        <f>130*0.25</f>
        <v>32.5</v>
      </c>
      <c r="E217">
        <v>0.25</v>
      </c>
    </row>
    <row r="218" spans="1:5" ht="15">
      <c r="A218" s="327" t="s">
        <v>1990</v>
      </c>
      <c r="B218" s="325"/>
      <c r="C218" s="72" t="s">
        <v>243</v>
      </c>
      <c r="D218" s="72">
        <v>65</v>
      </c>
      <c r="E218">
        <v>0.5</v>
      </c>
    </row>
    <row r="219" spans="1:5" ht="15">
      <c r="A219" s="327" t="s">
        <v>1991</v>
      </c>
      <c r="B219" s="325"/>
      <c r="C219" s="72" t="s">
        <v>243</v>
      </c>
      <c r="D219" s="72">
        <v>65</v>
      </c>
      <c r="E219">
        <v>0.5</v>
      </c>
    </row>
    <row r="220" spans="1:5" ht="15">
      <c r="A220" s="327" t="s">
        <v>1994</v>
      </c>
      <c r="B220" s="135"/>
      <c r="C220" s="199"/>
      <c r="D220" s="199">
        <v>2.5</v>
      </c>
      <c r="E220">
        <v>2.5</v>
      </c>
    </row>
    <row r="221" spans="1:5" ht="15">
      <c r="A221" s="327" t="s">
        <v>1995</v>
      </c>
      <c r="B221" s="135"/>
      <c r="C221" s="199"/>
      <c r="D221" s="341">
        <f>40/60</f>
        <v>0.6666666666666666</v>
      </c>
      <c r="E221">
        <v>0.7</v>
      </c>
    </row>
    <row r="222" spans="1:5" ht="15">
      <c r="A222" s="327" t="s">
        <v>1996</v>
      </c>
      <c r="B222" s="135"/>
      <c r="C222" s="199"/>
      <c r="D222" s="341">
        <v>1.3</v>
      </c>
      <c r="E222">
        <v>1.3</v>
      </c>
    </row>
    <row r="223" spans="1:5" ht="15">
      <c r="A223" s="327" t="s">
        <v>1997</v>
      </c>
      <c r="B223" s="135"/>
      <c r="C223" s="199"/>
      <c r="D223" s="341">
        <v>0.3</v>
      </c>
      <c r="E223">
        <v>0.3</v>
      </c>
    </row>
    <row r="224" spans="1:5" ht="15">
      <c r="A224" s="327" t="s">
        <v>1998</v>
      </c>
      <c r="B224" s="135"/>
      <c r="C224" s="199"/>
      <c r="D224" s="341">
        <v>1.5</v>
      </c>
      <c r="E224">
        <v>1.5</v>
      </c>
    </row>
    <row r="225" spans="1:5" ht="15">
      <c r="A225" s="327" t="s">
        <v>1999</v>
      </c>
      <c r="B225" s="135"/>
      <c r="C225" s="199"/>
      <c r="D225" s="341">
        <v>1</v>
      </c>
      <c r="E225">
        <v>1</v>
      </c>
    </row>
    <row r="226" spans="1:4" s="73" customFormat="1" ht="15">
      <c r="A226" s="327" t="s">
        <v>2012</v>
      </c>
      <c r="B226" s="91"/>
      <c r="C226" s="72" t="s">
        <v>243</v>
      </c>
      <c r="D226" s="72">
        <v>2</v>
      </c>
    </row>
    <row r="227" spans="1:4" s="73" customFormat="1" ht="15">
      <c r="A227" s="327" t="s">
        <v>2013</v>
      </c>
      <c r="B227" s="91"/>
      <c r="C227" s="72" t="s">
        <v>243</v>
      </c>
      <c r="D227" s="111">
        <v>1</v>
      </c>
    </row>
    <row r="228" spans="1:4" s="73" customFormat="1" ht="15">
      <c r="A228" s="327" t="s">
        <v>2014</v>
      </c>
      <c r="B228" s="91"/>
      <c r="C228" s="72" t="s">
        <v>243</v>
      </c>
      <c r="D228" s="111">
        <v>1.5</v>
      </c>
    </row>
    <row r="229" spans="1:4" s="73" customFormat="1" ht="15">
      <c r="A229" s="327" t="s">
        <v>2015</v>
      </c>
      <c r="B229" s="91"/>
      <c r="C229" s="72" t="s">
        <v>243</v>
      </c>
      <c r="D229" s="111">
        <v>1</v>
      </c>
    </row>
    <row r="230" spans="1:4" s="73" customFormat="1" ht="15">
      <c r="A230" s="327" t="s">
        <v>2016</v>
      </c>
      <c r="B230" s="91"/>
      <c r="C230" s="72" t="s">
        <v>243</v>
      </c>
      <c r="D230" s="111">
        <v>1</v>
      </c>
    </row>
    <row r="231" spans="1:4" s="73" customFormat="1" ht="15">
      <c r="A231" s="327" t="s">
        <v>2017</v>
      </c>
      <c r="B231" s="91"/>
      <c r="C231" s="72" t="s">
        <v>243</v>
      </c>
      <c r="D231" s="111">
        <v>1</v>
      </c>
    </row>
    <row r="232" spans="1:4" s="73" customFormat="1" ht="15">
      <c r="A232" s="327" t="s">
        <v>458</v>
      </c>
      <c r="B232" s="91"/>
      <c r="C232" s="72" t="s">
        <v>243</v>
      </c>
      <c r="D232" s="72">
        <v>1</v>
      </c>
    </row>
    <row r="233" spans="1:4" s="73" customFormat="1" ht="15">
      <c r="A233" s="327" t="s">
        <v>2027</v>
      </c>
      <c r="B233" s="91"/>
      <c r="C233" s="72" t="s">
        <v>243</v>
      </c>
      <c r="D233" s="111">
        <v>2.5</v>
      </c>
    </row>
    <row r="234" spans="1:4" s="73" customFormat="1" ht="15">
      <c r="A234" s="327" t="s">
        <v>2028</v>
      </c>
      <c r="B234" s="91"/>
      <c r="C234" s="72" t="s">
        <v>243</v>
      </c>
      <c r="D234" s="111">
        <v>0.5</v>
      </c>
    </row>
    <row r="235" spans="1:4" s="73" customFormat="1" ht="15">
      <c r="A235" s="327" t="s">
        <v>2029</v>
      </c>
      <c r="B235" s="91"/>
      <c r="C235" s="72" t="s">
        <v>243</v>
      </c>
      <c r="D235" s="111">
        <v>2</v>
      </c>
    </row>
    <row r="236" spans="1:4" ht="15">
      <c r="A236" s="181" t="s">
        <v>2030</v>
      </c>
      <c r="B236" s="55"/>
      <c r="C236" s="266" t="s">
        <v>243</v>
      </c>
      <c r="D236" s="266">
        <v>1.5</v>
      </c>
    </row>
    <row r="237" spans="1:4" ht="15">
      <c r="A237" s="181" t="s">
        <v>2031</v>
      </c>
      <c r="B237" s="55"/>
      <c r="C237" s="266" t="s">
        <v>243</v>
      </c>
      <c r="D237" s="266">
        <v>5</v>
      </c>
    </row>
    <row r="238" spans="1:4" s="73" customFormat="1" ht="15">
      <c r="A238" s="327" t="s">
        <v>2036</v>
      </c>
      <c r="B238" s="91"/>
      <c r="C238" s="72" t="s">
        <v>243</v>
      </c>
      <c r="D238" s="72">
        <v>1</v>
      </c>
    </row>
    <row r="239" spans="1:4" s="73" customFormat="1" ht="15">
      <c r="A239" s="327" t="s">
        <v>2037</v>
      </c>
      <c r="B239" s="91"/>
      <c r="C239" s="72" t="s">
        <v>243</v>
      </c>
      <c r="D239" s="111">
        <v>0.5</v>
      </c>
    </row>
    <row r="240" spans="1:4" s="73" customFormat="1" ht="15">
      <c r="A240" s="327" t="s">
        <v>2038</v>
      </c>
      <c r="B240" s="91"/>
      <c r="C240" s="72" t="s">
        <v>243</v>
      </c>
      <c r="D240" s="111">
        <v>1</v>
      </c>
    </row>
    <row r="241" spans="1:4" s="73" customFormat="1" ht="18.75" customHeight="1">
      <c r="A241" s="327" t="s">
        <v>2039</v>
      </c>
      <c r="B241" s="91"/>
      <c r="C241" s="72" t="s">
        <v>243</v>
      </c>
      <c r="D241" s="111">
        <v>1</v>
      </c>
    </row>
    <row r="242" spans="1:4" s="73" customFormat="1" ht="15">
      <c r="A242" s="90" t="s">
        <v>655</v>
      </c>
      <c r="B242" s="91"/>
      <c r="C242" s="72" t="s">
        <v>243</v>
      </c>
      <c r="D242" s="72">
        <v>1</v>
      </c>
    </row>
    <row r="243" spans="1:4" s="73" customFormat="1" ht="15">
      <c r="A243" s="90" t="s">
        <v>685</v>
      </c>
      <c r="B243" s="91"/>
      <c r="C243" s="72" t="s">
        <v>243</v>
      </c>
      <c r="D243" s="111">
        <v>1.5</v>
      </c>
    </row>
    <row r="244" spans="1:4" s="73" customFormat="1" ht="15">
      <c r="A244" s="90" t="s">
        <v>703</v>
      </c>
      <c r="B244" s="91"/>
      <c r="C244" s="72" t="s">
        <v>243</v>
      </c>
      <c r="D244" s="111">
        <v>2</v>
      </c>
    </row>
    <row r="245" spans="1:4" s="73" customFormat="1" ht="13.5" customHeight="1">
      <c r="A245" s="90" t="s">
        <v>705</v>
      </c>
      <c r="B245" s="91"/>
      <c r="C245" s="72" t="s">
        <v>243</v>
      </c>
      <c r="D245" s="111">
        <v>1</v>
      </c>
    </row>
    <row r="246" spans="1:4" s="73" customFormat="1" ht="15">
      <c r="A246" s="72" t="s">
        <v>749</v>
      </c>
      <c r="B246" s="89"/>
      <c r="C246" s="183" t="s">
        <v>243</v>
      </c>
      <c r="D246" s="183">
        <v>2</v>
      </c>
    </row>
    <row r="247" spans="1:4" s="73" customFormat="1" ht="15">
      <c r="A247" s="72" t="s">
        <v>750</v>
      </c>
      <c r="B247" s="89"/>
      <c r="C247" s="183" t="s">
        <v>243</v>
      </c>
      <c r="D247" s="183">
        <v>2</v>
      </c>
    </row>
    <row r="248" spans="1:4" s="73" customFormat="1" ht="15">
      <c r="A248" s="72" t="s">
        <v>759</v>
      </c>
      <c r="B248" s="89"/>
      <c r="C248" s="183" t="s">
        <v>243</v>
      </c>
      <c r="D248" s="183">
        <v>1.5</v>
      </c>
    </row>
    <row r="249" spans="1:4" s="73" customFormat="1" ht="15">
      <c r="A249" s="72" t="s">
        <v>760</v>
      </c>
      <c r="B249" s="89"/>
      <c r="C249" s="183" t="s">
        <v>243</v>
      </c>
      <c r="D249" s="183">
        <v>1</v>
      </c>
    </row>
    <row r="250" spans="1:4" s="73" customFormat="1" ht="15">
      <c r="A250" s="72" t="s">
        <v>780</v>
      </c>
      <c r="B250" s="89"/>
      <c r="C250" s="183" t="s">
        <v>243</v>
      </c>
      <c r="D250" s="183">
        <v>1</v>
      </c>
    </row>
    <row r="251" spans="1:4" s="73" customFormat="1" ht="15">
      <c r="A251" s="327" t="s">
        <v>2054</v>
      </c>
      <c r="B251" s="91"/>
      <c r="C251" s="72" t="s">
        <v>243</v>
      </c>
      <c r="D251" s="72">
        <v>1</v>
      </c>
    </row>
    <row r="252" spans="1:4" s="73" customFormat="1" ht="15">
      <c r="A252" s="327" t="s">
        <v>2055</v>
      </c>
      <c r="B252" s="91"/>
      <c r="C252" s="72" t="s">
        <v>243</v>
      </c>
      <c r="D252" s="111">
        <v>2</v>
      </c>
    </row>
    <row r="253" spans="1:4" s="73" customFormat="1" ht="15">
      <c r="A253" s="327" t="s">
        <v>2056</v>
      </c>
      <c r="B253" s="91"/>
      <c r="C253" s="72" t="s">
        <v>243</v>
      </c>
      <c r="D253" s="111">
        <v>1</v>
      </c>
    </row>
    <row r="254" spans="1:4" s="73" customFormat="1" ht="16.5" customHeight="1">
      <c r="A254" s="402" t="s">
        <v>2057</v>
      </c>
      <c r="B254" s="413"/>
      <c r="C254" s="72" t="s">
        <v>243</v>
      </c>
      <c r="D254" s="72">
        <v>1.5</v>
      </c>
    </row>
    <row r="255" spans="1:4" s="73" customFormat="1" ht="15">
      <c r="A255" s="327" t="s">
        <v>2063</v>
      </c>
      <c r="B255" s="91"/>
      <c r="C255" s="72" t="s">
        <v>243</v>
      </c>
      <c r="D255" s="72">
        <v>4</v>
      </c>
    </row>
    <row r="256" spans="1:4" s="73" customFormat="1" ht="15">
      <c r="A256" s="327" t="s">
        <v>2064</v>
      </c>
      <c r="B256" s="91"/>
      <c r="C256" s="72" t="s">
        <v>243</v>
      </c>
      <c r="D256" s="111">
        <v>2</v>
      </c>
    </row>
    <row r="257" spans="1:4" s="73" customFormat="1" ht="15">
      <c r="A257" s="327" t="s">
        <v>2065</v>
      </c>
      <c r="B257" s="91"/>
      <c r="C257" s="72" t="s">
        <v>243</v>
      </c>
      <c r="D257" s="111">
        <v>2</v>
      </c>
    </row>
    <row r="258" spans="1:4" s="73" customFormat="1" ht="42.75">
      <c r="A258" s="327" t="s">
        <v>2092</v>
      </c>
      <c r="B258" s="91"/>
      <c r="C258" s="72" t="s">
        <v>243</v>
      </c>
      <c r="D258" s="72">
        <v>2</v>
      </c>
    </row>
    <row r="259" spans="1:4" s="73" customFormat="1" ht="15">
      <c r="A259" s="327" t="s">
        <v>2093</v>
      </c>
      <c r="B259" s="91"/>
      <c r="C259" s="72" t="s">
        <v>243</v>
      </c>
      <c r="D259" s="111">
        <v>1</v>
      </c>
    </row>
    <row r="260" spans="1:4" s="94" customFormat="1" ht="15">
      <c r="A260" s="337" t="s">
        <v>2094</v>
      </c>
      <c r="B260" s="338"/>
      <c r="C260" s="199" t="s">
        <v>243</v>
      </c>
      <c r="D260" s="341">
        <v>0.5</v>
      </c>
    </row>
    <row r="261" spans="1:4" s="94" customFormat="1" ht="35.25" customHeight="1">
      <c r="A261" s="429" t="s">
        <v>2095</v>
      </c>
      <c r="B261" s="430"/>
      <c r="C261" s="199" t="s">
        <v>243</v>
      </c>
      <c r="D261" s="199">
        <v>2</v>
      </c>
    </row>
    <row r="262" spans="1:4" s="73" customFormat="1" ht="15">
      <c r="A262" s="72" t="s">
        <v>2096</v>
      </c>
      <c r="B262" s="89"/>
      <c r="C262" s="183" t="s">
        <v>243</v>
      </c>
      <c r="D262" s="183">
        <v>0.5</v>
      </c>
    </row>
    <row r="263" spans="1:4" s="73" customFormat="1" ht="15">
      <c r="A263" s="72" t="s">
        <v>2097</v>
      </c>
      <c r="B263" s="89"/>
      <c r="C263" s="183" t="s">
        <v>243</v>
      </c>
      <c r="D263" s="183">
        <v>5</v>
      </c>
    </row>
    <row r="264" spans="1:4" s="73" customFormat="1" ht="15">
      <c r="A264" s="72" t="s">
        <v>2098</v>
      </c>
      <c r="B264" s="89"/>
      <c r="C264" s="183" t="s">
        <v>243</v>
      </c>
      <c r="D264" s="183">
        <v>1</v>
      </c>
    </row>
    <row r="265" spans="1:4" s="73" customFormat="1" ht="30">
      <c r="A265" s="105" t="s">
        <v>2099</v>
      </c>
      <c r="B265" s="89"/>
      <c r="C265" s="183" t="s">
        <v>243</v>
      </c>
      <c r="D265" s="183">
        <v>2</v>
      </c>
    </row>
    <row r="266" spans="1:4" s="73" customFormat="1" ht="15">
      <c r="A266" s="327" t="s">
        <v>2125</v>
      </c>
      <c r="B266" s="91"/>
      <c r="C266" s="72" t="s">
        <v>243</v>
      </c>
      <c r="D266" s="72">
        <v>1</v>
      </c>
    </row>
    <row r="267" spans="1:4" s="73" customFormat="1" ht="15">
      <c r="A267" s="73" t="s">
        <v>2126</v>
      </c>
      <c r="C267" s="267" t="s">
        <v>243</v>
      </c>
      <c r="D267" s="72">
        <v>0.5</v>
      </c>
    </row>
    <row r="268" spans="1:4" s="73" customFormat="1" ht="15">
      <c r="A268" s="327" t="s">
        <v>2127</v>
      </c>
      <c r="B268" s="91"/>
      <c r="C268" s="72" t="s">
        <v>243</v>
      </c>
      <c r="D268" s="111">
        <v>1</v>
      </c>
    </row>
    <row r="269" spans="1:4" s="73" customFormat="1" ht="35.25" customHeight="1">
      <c r="A269" s="402" t="s">
        <v>2128</v>
      </c>
      <c r="B269" s="413"/>
      <c r="C269" s="72" t="s">
        <v>243</v>
      </c>
      <c r="D269" s="72">
        <v>1</v>
      </c>
    </row>
    <row r="270" spans="1:4" s="73" customFormat="1" ht="15">
      <c r="A270" s="72" t="s">
        <v>2129</v>
      </c>
      <c r="B270" s="89"/>
      <c r="C270" s="183" t="s">
        <v>243</v>
      </c>
      <c r="D270" s="183">
        <v>1</v>
      </c>
    </row>
    <row r="271" spans="1:4" s="73" customFormat="1" ht="30">
      <c r="A271" s="255" t="s">
        <v>2130</v>
      </c>
      <c r="B271" s="89"/>
      <c r="C271" s="343" t="s">
        <v>243</v>
      </c>
      <c r="D271" s="343">
        <v>1</v>
      </c>
    </row>
    <row r="272" spans="1:4" ht="15">
      <c r="A272" s="181" t="s">
        <v>2131</v>
      </c>
      <c r="B272" s="181"/>
      <c r="C272" s="110" t="s">
        <v>243</v>
      </c>
      <c r="D272" s="110">
        <v>0.5</v>
      </c>
    </row>
    <row r="273" spans="1:4" s="73" customFormat="1" ht="15">
      <c r="A273" s="105" t="s">
        <v>2132</v>
      </c>
      <c r="B273" s="72"/>
      <c r="C273" s="72" t="s">
        <v>243</v>
      </c>
      <c r="D273" s="72">
        <v>3</v>
      </c>
    </row>
    <row r="274" spans="1:4" s="73" customFormat="1" ht="15">
      <c r="A274" s="184"/>
      <c r="B274" s="89"/>
      <c r="C274" s="183"/>
      <c r="D274" s="183"/>
    </row>
    <row r="275" spans="1:4" ht="15.75" thickBot="1">
      <c r="A275" s="395" t="s">
        <v>410</v>
      </c>
      <c r="B275" s="396"/>
      <c r="C275" s="77"/>
      <c r="D275" s="77"/>
    </row>
    <row r="276" spans="1:4" ht="15.75" thickBot="1">
      <c r="A276" s="397" t="s">
        <v>104</v>
      </c>
      <c r="B276" s="398"/>
      <c r="C276" s="77"/>
      <c r="D276" s="77"/>
    </row>
    <row r="277" spans="1:4" ht="15">
      <c r="A277" s="79"/>
      <c r="B277" s="79"/>
      <c r="C277" s="76"/>
      <c r="D277" s="76"/>
    </row>
    <row r="278" spans="1:4" ht="15.75">
      <c r="A278" s="394" t="s">
        <v>233</v>
      </c>
      <c r="B278" s="394"/>
      <c r="C278" s="394"/>
      <c r="D278" s="394"/>
    </row>
    <row r="279" spans="1:4" ht="15">
      <c r="A279" s="76"/>
      <c r="B279" s="76"/>
      <c r="C279" s="76"/>
      <c r="D279" s="76"/>
    </row>
    <row r="280" spans="1:4" ht="15.75">
      <c r="A280" s="394" t="s">
        <v>234</v>
      </c>
      <c r="B280" s="394"/>
      <c r="C280" s="394"/>
      <c r="D280" s="394"/>
    </row>
  </sheetData>
  <sheetProtection/>
  <mergeCells count="78">
    <mergeCell ref="A278:D278"/>
    <mergeCell ref="A280:D280"/>
    <mergeCell ref="A128:B128"/>
    <mergeCell ref="A129:B129"/>
    <mergeCell ref="A130:B130"/>
    <mergeCell ref="A197:B197"/>
    <mergeCell ref="A198:B198"/>
    <mergeCell ref="A199:B199"/>
    <mergeCell ref="A200:B200"/>
    <mergeCell ref="A275:B275"/>
    <mergeCell ref="A276:B276"/>
    <mergeCell ref="A207:B207"/>
    <mergeCell ref="A132:B132"/>
    <mergeCell ref="A254:B254"/>
    <mergeCell ref="A134:B134"/>
    <mergeCell ref="A136:B136"/>
    <mergeCell ref="A14:B14"/>
    <mergeCell ref="A15:B15"/>
    <mergeCell ref="A36:B36"/>
    <mergeCell ref="A37:B37"/>
    <mergeCell ref="A49:B49"/>
    <mergeCell ref="A23:B23"/>
    <mergeCell ref="A24:B24"/>
    <mergeCell ref="A25:B25"/>
    <mergeCell ref="A32:B32"/>
    <mergeCell ref="A33:B33"/>
    <mergeCell ref="A39:B39"/>
    <mergeCell ref="A40:B40"/>
    <mergeCell ref="A41:B41"/>
    <mergeCell ref="A44:B44"/>
    <mergeCell ref="A13:B13"/>
    <mergeCell ref="A1:D1"/>
    <mergeCell ref="A2:D2"/>
    <mergeCell ref="A3:D3"/>
    <mergeCell ref="A5:B5"/>
    <mergeCell ref="A6:B6"/>
    <mergeCell ref="A7:B7"/>
    <mergeCell ref="A8:B8"/>
    <mergeCell ref="A9:B9"/>
    <mergeCell ref="A10:B10"/>
    <mergeCell ref="A11:B11"/>
    <mergeCell ref="A12:B12"/>
    <mergeCell ref="A26:B26"/>
    <mergeCell ref="A109:B109"/>
    <mergeCell ref="A27:B27"/>
    <mergeCell ref="A28:B28"/>
    <mergeCell ref="A29:B29"/>
    <mergeCell ref="A30:B30"/>
    <mergeCell ref="A50:B50"/>
    <mergeCell ref="A52:B52"/>
    <mergeCell ref="A53:B53"/>
    <mergeCell ref="A54:B54"/>
    <mergeCell ref="A89:B89"/>
    <mergeCell ref="A96:B96"/>
    <mergeCell ref="A108:B108"/>
    <mergeCell ref="A45:B45"/>
    <mergeCell ref="A38:B38"/>
    <mergeCell ref="A137:B137"/>
    <mergeCell ref="A46:B46"/>
    <mergeCell ref="A48:B48"/>
    <mergeCell ref="A138:B138"/>
    <mergeCell ref="A140:B140"/>
    <mergeCell ref="A124:B124"/>
    <mergeCell ref="A125:B125"/>
    <mergeCell ref="A126:B126"/>
    <mergeCell ref="A127:B127"/>
    <mergeCell ref="A111:B111"/>
    <mergeCell ref="A112:B112"/>
    <mergeCell ref="A113:B113"/>
    <mergeCell ref="A114:B114"/>
    <mergeCell ref="A110:B110"/>
    <mergeCell ref="A70:B70"/>
    <mergeCell ref="A269:B269"/>
    <mergeCell ref="A153:B153"/>
    <mergeCell ref="A261:B261"/>
    <mergeCell ref="A166:B166"/>
    <mergeCell ref="A178:B178"/>
    <mergeCell ref="A179:B179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E429"/>
  <sheetViews>
    <sheetView zoomScalePageLayoutView="0" workbookViewId="0" topLeftCell="A334">
      <selection activeCell="H324" sqref="H324"/>
    </sheetView>
  </sheetViews>
  <sheetFormatPr defaultColWidth="9.140625" defaultRowHeight="15"/>
  <cols>
    <col min="1" max="1" width="84.8515625" style="0" customWidth="1"/>
    <col min="2" max="2" width="3.28125" style="0" hidden="1" customWidth="1"/>
    <col min="3" max="3" width="26.28125" style="0" customWidth="1"/>
  </cols>
  <sheetData>
    <row r="1" spans="1:4" ht="15.75">
      <c r="A1" s="381" t="s">
        <v>230</v>
      </c>
      <c r="B1" s="381"/>
      <c r="C1" s="381"/>
      <c r="D1" s="381"/>
    </row>
    <row r="2" spans="1:4" ht="15.75">
      <c r="A2" s="382" t="s">
        <v>247</v>
      </c>
      <c r="B2" s="382"/>
      <c r="C2" s="382"/>
      <c r="D2" s="382"/>
    </row>
    <row r="3" spans="1:4" s="55" customFormat="1" ht="15.75">
      <c r="A3" s="382" t="s">
        <v>2133</v>
      </c>
      <c r="B3" s="382"/>
      <c r="C3" s="382"/>
      <c r="D3" s="382"/>
    </row>
    <row r="4" spans="1:4" s="55" customFormat="1" ht="15.75">
      <c r="A4" s="96"/>
      <c r="B4" s="96"/>
      <c r="C4" s="89"/>
      <c r="D4" s="89"/>
    </row>
    <row r="5" spans="1:4" ht="30">
      <c r="A5" s="383" t="s">
        <v>229</v>
      </c>
      <c r="B5" s="384"/>
      <c r="C5" s="86" t="s">
        <v>231</v>
      </c>
      <c r="D5" s="85" t="s">
        <v>530</v>
      </c>
    </row>
    <row r="6" spans="1:4" ht="15">
      <c r="A6" s="383" t="s">
        <v>229</v>
      </c>
      <c r="B6" s="384"/>
      <c r="C6" s="73"/>
      <c r="D6" s="73"/>
    </row>
    <row r="7" spans="1:4" ht="15.75" thickBot="1">
      <c r="A7" s="523" t="s">
        <v>0</v>
      </c>
      <c r="B7" s="524"/>
      <c r="C7" s="136"/>
      <c r="D7" s="136"/>
    </row>
    <row r="8" spans="1:4" ht="15">
      <c r="A8" s="474" t="s">
        <v>24</v>
      </c>
      <c r="B8" s="475"/>
      <c r="C8" s="109"/>
      <c r="D8" s="109"/>
    </row>
    <row r="9" spans="1:4" ht="15">
      <c r="A9" s="474" t="s">
        <v>647</v>
      </c>
      <c r="B9" s="475"/>
      <c r="C9" s="109"/>
      <c r="D9" s="109"/>
    </row>
    <row r="10" spans="1:4" ht="15.75" thickBot="1">
      <c r="A10" s="476" t="s">
        <v>28</v>
      </c>
      <c r="B10" s="477"/>
      <c r="C10" s="109"/>
      <c r="D10" s="109"/>
    </row>
    <row r="11" spans="1:4" ht="15.75" thickBot="1">
      <c r="A11" s="478" t="s">
        <v>29</v>
      </c>
      <c r="B11" s="479"/>
      <c r="C11" s="109"/>
      <c r="D11" s="109"/>
    </row>
    <row r="12" spans="1:4" ht="15">
      <c r="A12" s="480" t="s">
        <v>45</v>
      </c>
      <c r="B12" s="481"/>
      <c r="C12" s="109"/>
      <c r="D12" s="109"/>
    </row>
    <row r="13" spans="1:4" ht="15.75" thickBot="1">
      <c r="A13" s="472" t="s">
        <v>55</v>
      </c>
      <c r="B13" s="473"/>
      <c r="C13" s="109"/>
      <c r="D13" s="109"/>
    </row>
    <row r="14" spans="1:4" ht="15.75" thickBot="1">
      <c r="A14" s="485" t="s">
        <v>56</v>
      </c>
      <c r="B14" s="490"/>
      <c r="C14" s="109"/>
      <c r="D14" s="109"/>
    </row>
    <row r="15" spans="1:4" ht="15.75" thickBot="1">
      <c r="A15" s="478" t="s">
        <v>57</v>
      </c>
      <c r="B15" s="479"/>
      <c r="C15" s="109"/>
      <c r="D15" s="109"/>
    </row>
    <row r="16" spans="1:4" ht="15">
      <c r="A16" s="315" t="s">
        <v>1951</v>
      </c>
      <c r="B16" s="316"/>
      <c r="C16" s="72" t="s">
        <v>309</v>
      </c>
      <c r="D16" s="72">
        <f>3*130</f>
        <v>390</v>
      </c>
    </row>
    <row r="17" spans="1:4" ht="15">
      <c r="A17" s="72" t="s">
        <v>788</v>
      </c>
      <c r="B17" s="72"/>
      <c r="C17" s="72"/>
      <c r="D17" s="72">
        <v>135.42</v>
      </c>
    </row>
    <row r="18" spans="1:4" s="94" customFormat="1" ht="16.5" customHeight="1">
      <c r="A18" s="339" t="s">
        <v>2134</v>
      </c>
      <c r="B18" s="344"/>
      <c r="C18" s="345" t="s">
        <v>400</v>
      </c>
      <c r="D18" s="346">
        <f>130*1</f>
        <v>130</v>
      </c>
    </row>
    <row r="19" spans="1:4" ht="15.75" thickBot="1">
      <c r="A19" s="193" t="s">
        <v>2135</v>
      </c>
      <c r="B19" s="306"/>
      <c r="C19" s="183" t="s">
        <v>309</v>
      </c>
      <c r="D19" s="183">
        <f>1.5*130</f>
        <v>195</v>
      </c>
    </row>
    <row r="20" spans="1:4" s="94" customFormat="1" ht="15.75" thickBot="1">
      <c r="A20" s="511" t="s">
        <v>2156</v>
      </c>
      <c r="B20" s="512"/>
      <c r="C20" s="72"/>
      <c r="D20" s="72">
        <f>663.22+130*2</f>
        <v>923.22</v>
      </c>
    </row>
    <row r="21" spans="1:5" ht="15.75" thickBot="1">
      <c r="A21" s="193" t="s">
        <v>2160</v>
      </c>
      <c r="B21" s="306"/>
      <c r="C21" s="72" t="s">
        <v>360</v>
      </c>
      <c r="D21" s="72">
        <f>0.5*130</f>
        <v>65</v>
      </c>
      <c r="E21">
        <v>0.5</v>
      </c>
    </row>
    <row r="22" spans="1:4" s="73" customFormat="1" ht="15">
      <c r="A22" s="399" t="s">
        <v>2237</v>
      </c>
      <c r="B22" s="400"/>
      <c r="C22" s="105" t="s">
        <v>714</v>
      </c>
      <c r="D22" s="72">
        <f>4+4</f>
        <v>8</v>
      </c>
    </row>
    <row r="23" spans="1:4" s="73" customFormat="1" ht="15">
      <c r="A23" s="399" t="s">
        <v>2248</v>
      </c>
      <c r="B23" s="400"/>
      <c r="C23" s="72" t="s">
        <v>342</v>
      </c>
      <c r="D23" s="72">
        <v>3</v>
      </c>
    </row>
    <row r="24" spans="1:4" s="73" customFormat="1" ht="30" customHeight="1">
      <c r="A24" s="399" t="s">
        <v>1787</v>
      </c>
      <c r="B24" s="400"/>
      <c r="C24" s="105" t="s">
        <v>1788</v>
      </c>
      <c r="D24" s="72">
        <v>3</v>
      </c>
    </row>
    <row r="25" spans="1:4" s="73" customFormat="1" ht="15" customHeight="1">
      <c r="A25" s="400" t="s">
        <v>517</v>
      </c>
      <c r="B25" s="448"/>
      <c r="C25" s="72" t="s">
        <v>518</v>
      </c>
      <c r="D25" s="72">
        <v>1.7</v>
      </c>
    </row>
    <row r="26" spans="1:4" s="73" customFormat="1" ht="19.5" customHeight="1">
      <c r="A26" s="399" t="s">
        <v>571</v>
      </c>
      <c r="B26" s="400"/>
      <c r="C26" s="105" t="s">
        <v>485</v>
      </c>
      <c r="D26" s="72">
        <v>2</v>
      </c>
    </row>
    <row r="27" spans="1:4" s="73" customFormat="1" ht="18" customHeight="1">
      <c r="A27" s="399" t="s">
        <v>597</v>
      </c>
      <c r="B27" s="400"/>
      <c r="C27" s="105" t="s">
        <v>598</v>
      </c>
      <c r="D27" s="72">
        <v>1</v>
      </c>
    </row>
    <row r="28" spans="1:4" s="73" customFormat="1" ht="19.5" customHeight="1">
      <c r="A28" s="399" t="s">
        <v>2269</v>
      </c>
      <c r="B28" s="400"/>
      <c r="C28" s="105" t="s">
        <v>342</v>
      </c>
      <c r="D28" s="72">
        <v>6.5</v>
      </c>
    </row>
    <row r="29" spans="1:4" s="73" customFormat="1" ht="18.75" customHeight="1">
      <c r="A29" s="399" t="s">
        <v>892</v>
      </c>
      <c r="B29" s="400"/>
      <c r="C29" s="105" t="s">
        <v>893</v>
      </c>
      <c r="D29" s="72">
        <v>4.8</v>
      </c>
    </row>
    <row r="30" spans="1:4" s="73" customFormat="1" ht="15">
      <c r="A30" s="400" t="s">
        <v>1286</v>
      </c>
      <c r="B30" s="448"/>
      <c r="C30" s="72" t="s">
        <v>1287</v>
      </c>
      <c r="D30" s="72">
        <v>4.5</v>
      </c>
    </row>
    <row r="31" spans="1:4" s="94" customFormat="1" ht="33.75" customHeight="1">
      <c r="A31" s="404" t="s">
        <v>2304</v>
      </c>
      <c r="B31" s="542"/>
      <c r="C31" s="199" t="s">
        <v>1083</v>
      </c>
      <c r="D31" s="199">
        <v>1</v>
      </c>
    </row>
    <row r="32" spans="1:4" s="73" customFormat="1" ht="12.75" customHeight="1">
      <c r="A32" s="400" t="s">
        <v>1829</v>
      </c>
      <c r="B32" s="448"/>
      <c r="C32" s="72" t="s">
        <v>1830</v>
      </c>
      <c r="D32" s="72">
        <v>1.5</v>
      </c>
    </row>
    <row r="33" spans="1:4" s="73" customFormat="1" ht="15" customHeight="1">
      <c r="A33" s="400" t="s">
        <v>2305</v>
      </c>
      <c r="B33" s="448"/>
      <c r="C33" s="72" t="s">
        <v>577</v>
      </c>
      <c r="D33" s="72">
        <v>2</v>
      </c>
    </row>
    <row r="34" spans="1:4" s="73" customFormat="1" ht="15">
      <c r="A34" s="400" t="s">
        <v>1832</v>
      </c>
      <c r="B34" s="448"/>
      <c r="C34" s="72" t="s">
        <v>1833</v>
      </c>
      <c r="D34" s="72">
        <v>3</v>
      </c>
    </row>
    <row r="35" spans="1:4" s="73" customFormat="1" ht="15" customHeight="1">
      <c r="A35" s="400" t="s">
        <v>2306</v>
      </c>
      <c r="B35" s="448"/>
      <c r="C35" s="72" t="s">
        <v>1833</v>
      </c>
      <c r="D35" s="72">
        <v>3</v>
      </c>
    </row>
    <row r="36" spans="1:4" s="73" customFormat="1" ht="15" customHeight="1">
      <c r="A36" s="324" t="s">
        <v>2307</v>
      </c>
      <c r="B36" s="331"/>
      <c r="C36" s="72" t="s">
        <v>433</v>
      </c>
      <c r="D36" s="72">
        <v>4</v>
      </c>
    </row>
    <row r="37" spans="1:4" s="73" customFormat="1" ht="19.5" customHeight="1">
      <c r="A37" s="474" t="s">
        <v>571</v>
      </c>
      <c r="B37" s="475"/>
      <c r="C37" s="141" t="s">
        <v>485</v>
      </c>
      <c r="D37" s="109">
        <v>2</v>
      </c>
    </row>
    <row r="38" spans="1:4" s="73" customFormat="1" ht="18" customHeight="1">
      <c r="A38" s="474" t="s">
        <v>597</v>
      </c>
      <c r="B38" s="475"/>
      <c r="C38" s="141" t="s">
        <v>598</v>
      </c>
      <c r="D38" s="109">
        <v>1</v>
      </c>
    </row>
    <row r="39" spans="1:4" s="73" customFormat="1" ht="15" customHeight="1">
      <c r="A39" s="475" t="s">
        <v>517</v>
      </c>
      <c r="B39" s="482"/>
      <c r="C39" s="109" t="s">
        <v>518</v>
      </c>
      <c r="D39" s="109">
        <v>1.7</v>
      </c>
    </row>
    <row r="40" spans="1:4" ht="15">
      <c r="A40" s="475" t="s">
        <v>61</v>
      </c>
      <c r="B40" s="482"/>
      <c r="C40" s="109"/>
      <c r="D40" s="109"/>
    </row>
    <row r="41" spans="1:4" ht="15" customHeight="1">
      <c r="A41" s="475" t="s">
        <v>62</v>
      </c>
      <c r="B41" s="482"/>
      <c r="C41" s="109"/>
      <c r="D41" s="109"/>
    </row>
    <row r="42" spans="1:4" ht="15.75" customHeight="1" thickBot="1">
      <c r="A42" s="477" t="s">
        <v>63</v>
      </c>
      <c r="B42" s="483"/>
      <c r="C42" s="109"/>
      <c r="D42" s="109"/>
    </row>
    <row r="43" spans="1:4" ht="15.75" thickBot="1">
      <c r="A43" s="484" t="s">
        <v>64</v>
      </c>
      <c r="B43" s="485"/>
      <c r="C43" s="109"/>
      <c r="D43" s="109"/>
    </row>
    <row r="44" spans="1:4" ht="15">
      <c r="A44" s="486" t="s">
        <v>66</v>
      </c>
      <c r="B44" s="487"/>
      <c r="C44" s="109"/>
      <c r="D44" s="109"/>
    </row>
    <row r="45" spans="1:4" ht="15">
      <c r="A45" s="137" t="s">
        <v>68</v>
      </c>
      <c r="B45" s="138"/>
      <c r="C45" s="109"/>
      <c r="D45" s="109"/>
    </row>
    <row r="46" spans="1:5" ht="15">
      <c r="A46" s="302" t="s">
        <v>2161</v>
      </c>
      <c r="B46" s="269"/>
      <c r="C46" s="72" t="s">
        <v>850</v>
      </c>
      <c r="D46" s="72">
        <f>6*130*2</f>
        <v>1560</v>
      </c>
      <c r="E46">
        <v>12</v>
      </c>
    </row>
    <row r="47" spans="1:5" ht="15">
      <c r="A47" s="327" t="s">
        <v>2162</v>
      </c>
      <c r="B47" s="91"/>
      <c r="C47" s="72" t="s">
        <v>1132</v>
      </c>
      <c r="D47" s="72">
        <f>7*130*2+8*130</f>
        <v>2860</v>
      </c>
      <c r="E47">
        <v>22</v>
      </c>
    </row>
    <row r="48" spans="1:5" ht="45">
      <c r="A48" s="327" t="s">
        <v>2163</v>
      </c>
      <c r="B48" s="91"/>
      <c r="C48" s="105" t="s">
        <v>2164</v>
      </c>
      <c r="D48" s="72">
        <f>5*130+4*130*2+130*2*2</f>
        <v>2210</v>
      </c>
      <c r="E48">
        <v>17</v>
      </c>
    </row>
    <row r="49" spans="1:5" ht="30">
      <c r="A49" s="304" t="s">
        <v>2165</v>
      </c>
      <c r="C49" s="347" t="s">
        <v>2166</v>
      </c>
      <c r="D49" s="181">
        <f>130*8*2+5*130*3</f>
        <v>4030</v>
      </c>
      <c r="E49">
        <v>31</v>
      </c>
    </row>
    <row r="50" spans="1:5" ht="30">
      <c r="A50" s="327" t="s">
        <v>2167</v>
      </c>
      <c r="B50" s="181"/>
      <c r="C50" s="268" t="s">
        <v>2168</v>
      </c>
      <c r="D50" s="181">
        <f>8*130*4</f>
        <v>4160</v>
      </c>
      <c r="E50">
        <v>32</v>
      </c>
    </row>
    <row r="51" spans="1:5" ht="30">
      <c r="A51" s="327" t="s">
        <v>2169</v>
      </c>
      <c r="B51" s="181"/>
      <c r="C51" s="268" t="s">
        <v>2168</v>
      </c>
      <c r="D51" s="181">
        <f>8*130*4</f>
        <v>4160</v>
      </c>
      <c r="E51">
        <v>32</v>
      </c>
    </row>
    <row r="52" spans="1:5" ht="30">
      <c r="A52" s="327" t="s">
        <v>2170</v>
      </c>
      <c r="B52" s="181"/>
      <c r="C52" s="268" t="s">
        <v>2168</v>
      </c>
      <c r="D52" s="181">
        <f>8*130*4</f>
        <v>4160</v>
      </c>
      <c r="E52">
        <v>32</v>
      </c>
    </row>
    <row r="53" spans="1:5" ht="15">
      <c r="A53" s="260" t="s">
        <v>2171</v>
      </c>
      <c r="B53" s="91"/>
      <c r="C53" s="183" t="s">
        <v>568</v>
      </c>
      <c r="D53" s="183">
        <f>130*8+130*5</f>
        <v>1690</v>
      </c>
      <c r="E53">
        <v>13</v>
      </c>
    </row>
    <row r="54" spans="1:5" ht="15">
      <c r="A54" s="260" t="s">
        <v>2172</v>
      </c>
      <c r="B54" s="91"/>
      <c r="C54" s="183" t="s">
        <v>2173</v>
      </c>
      <c r="D54" s="183">
        <f>130*8*3+130*5</f>
        <v>3770</v>
      </c>
      <c r="E54">
        <v>29</v>
      </c>
    </row>
    <row r="55" spans="1:5" ht="15">
      <c r="A55" s="260" t="s">
        <v>2174</v>
      </c>
      <c r="B55" s="91"/>
      <c r="C55" s="183" t="s">
        <v>1640</v>
      </c>
      <c r="D55" s="183">
        <f>130*8*3</f>
        <v>3120</v>
      </c>
      <c r="E55">
        <v>24</v>
      </c>
    </row>
    <row r="56" spans="1:5" ht="15">
      <c r="A56" s="260" t="s">
        <v>2175</v>
      </c>
      <c r="B56" s="91"/>
      <c r="C56" s="183" t="s">
        <v>1640</v>
      </c>
      <c r="D56" s="183">
        <f>130*8*3</f>
        <v>3120</v>
      </c>
      <c r="E56">
        <v>24</v>
      </c>
    </row>
    <row r="57" spans="1:5" ht="15">
      <c r="A57" s="260" t="s">
        <v>2176</v>
      </c>
      <c r="B57" s="91"/>
      <c r="C57" s="183" t="s">
        <v>1640</v>
      </c>
      <c r="D57" s="183">
        <f>130*8*3</f>
        <v>3120</v>
      </c>
      <c r="E57">
        <v>24</v>
      </c>
    </row>
    <row r="58" spans="1:5" ht="15">
      <c r="A58" s="260" t="s">
        <v>2177</v>
      </c>
      <c r="B58" s="91"/>
      <c r="C58" s="183" t="s">
        <v>2178</v>
      </c>
      <c r="D58" s="183">
        <f>130*8*3</f>
        <v>3120</v>
      </c>
      <c r="E58">
        <v>24</v>
      </c>
    </row>
    <row r="59" spans="1:5" ht="45">
      <c r="A59" s="327" t="s">
        <v>2179</v>
      </c>
      <c r="B59" s="91"/>
      <c r="C59" s="105" t="s">
        <v>2180</v>
      </c>
      <c r="D59" s="72">
        <f>8*130*3+4*130+6*130</f>
        <v>4420</v>
      </c>
      <c r="E59">
        <v>34</v>
      </c>
    </row>
    <row r="60" spans="1:5" ht="15">
      <c r="A60" s="260" t="s">
        <v>2181</v>
      </c>
      <c r="B60" s="91"/>
      <c r="C60" s="183" t="s">
        <v>850</v>
      </c>
      <c r="D60" s="183">
        <f>130*8*2</f>
        <v>2080</v>
      </c>
      <c r="E60">
        <v>16</v>
      </c>
    </row>
    <row r="61" spans="1:4" ht="15">
      <c r="A61" s="72" t="s">
        <v>329</v>
      </c>
      <c r="B61" s="72"/>
      <c r="C61" s="72" t="s">
        <v>395</v>
      </c>
      <c r="D61" s="72">
        <f>8+8+8</f>
        <v>24</v>
      </c>
    </row>
    <row r="62" spans="1:4" ht="15">
      <c r="A62" s="72" t="s">
        <v>330</v>
      </c>
      <c r="B62" s="72"/>
      <c r="C62" s="72" t="s">
        <v>397</v>
      </c>
      <c r="D62" s="72">
        <f>8+5+8+8+8</f>
        <v>37</v>
      </c>
    </row>
    <row r="63" spans="1:4" ht="15">
      <c r="A63" s="72" t="s">
        <v>379</v>
      </c>
      <c r="B63" s="72"/>
      <c r="C63" s="72" t="s">
        <v>378</v>
      </c>
      <c r="D63" s="72">
        <f>2+8</f>
        <v>10</v>
      </c>
    </row>
    <row r="64" spans="1:4" ht="15">
      <c r="A64" s="72" t="s">
        <v>289</v>
      </c>
      <c r="B64" s="72"/>
      <c r="C64" s="72" t="s">
        <v>363</v>
      </c>
      <c r="D64" s="72">
        <f>5+8+8</f>
        <v>21</v>
      </c>
    </row>
    <row r="65" spans="1:4" ht="15">
      <c r="A65" s="72" t="s">
        <v>292</v>
      </c>
      <c r="B65" s="72"/>
      <c r="C65" s="72" t="s">
        <v>382</v>
      </c>
      <c r="D65" s="72">
        <f>8+8+8+8+8</f>
        <v>40</v>
      </c>
    </row>
    <row r="66" spans="1:4" ht="15">
      <c r="A66" s="72" t="s">
        <v>295</v>
      </c>
      <c r="B66" s="72"/>
      <c r="C66" s="72" t="s">
        <v>279</v>
      </c>
      <c r="D66" s="72">
        <v>6.5</v>
      </c>
    </row>
    <row r="67" spans="1:4" ht="15">
      <c r="A67" s="72" t="s">
        <v>308</v>
      </c>
      <c r="B67" s="72"/>
      <c r="C67" s="72" t="s">
        <v>309</v>
      </c>
      <c r="D67" s="72">
        <v>3</v>
      </c>
    </row>
    <row r="68" spans="1:4" ht="15">
      <c r="A68" s="72" t="s">
        <v>310</v>
      </c>
      <c r="B68" s="72"/>
      <c r="C68" s="72" t="s">
        <v>396</v>
      </c>
      <c r="D68" s="72">
        <f>3+8+7</f>
        <v>18</v>
      </c>
    </row>
    <row r="69" spans="1:4" ht="15">
      <c r="A69" s="72" t="s">
        <v>311</v>
      </c>
      <c r="B69" s="72"/>
      <c r="C69" s="72" t="s">
        <v>309</v>
      </c>
      <c r="D69" s="72">
        <v>4</v>
      </c>
    </row>
    <row r="70" spans="1:4" ht="15">
      <c r="A70" s="72" t="s">
        <v>312</v>
      </c>
      <c r="B70" s="72"/>
      <c r="C70" s="72" t="s">
        <v>371</v>
      </c>
      <c r="D70" s="72">
        <f>8+8</f>
        <v>16</v>
      </c>
    </row>
    <row r="71" spans="1:4" ht="15">
      <c r="A71" s="72" t="s">
        <v>313</v>
      </c>
      <c r="B71" s="72"/>
      <c r="C71" s="72" t="s">
        <v>380</v>
      </c>
      <c r="D71" s="72">
        <f>8+8+8</f>
        <v>24</v>
      </c>
    </row>
    <row r="72" spans="1:4" ht="15">
      <c r="A72" s="72" t="s">
        <v>314</v>
      </c>
      <c r="B72" s="72"/>
      <c r="C72" s="72" t="s">
        <v>398</v>
      </c>
      <c r="D72" s="72">
        <f>8+8+8+8+8</f>
        <v>40</v>
      </c>
    </row>
    <row r="73" spans="1:4" ht="15">
      <c r="A73" s="72" t="s">
        <v>315</v>
      </c>
      <c r="B73" s="72"/>
      <c r="C73" s="72" t="s">
        <v>399</v>
      </c>
      <c r="D73" s="72">
        <f>8+7+7</f>
        <v>22</v>
      </c>
    </row>
    <row r="74" spans="1:4" ht="15">
      <c r="A74" s="72" t="s">
        <v>316</v>
      </c>
      <c r="B74" s="72"/>
      <c r="C74" s="72" t="s">
        <v>381</v>
      </c>
      <c r="D74" s="72">
        <f>8+8</f>
        <v>16</v>
      </c>
    </row>
    <row r="75" spans="1:4" ht="15">
      <c r="A75" s="72" t="s">
        <v>317</v>
      </c>
      <c r="B75" s="72"/>
      <c r="C75" s="72" t="s">
        <v>358</v>
      </c>
      <c r="D75" s="72">
        <f>8+8</f>
        <v>16</v>
      </c>
    </row>
    <row r="76" spans="1:4" ht="15">
      <c r="A76" s="72" t="s">
        <v>318</v>
      </c>
      <c r="B76" s="72"/>
      <c r="C76" s="72" t="s">
        <v>383</v>
      </c>
      <c r="D76" s="72">
        <f>8+8+8</f>
        <v>24</v>
      </c>
    </row>
    <row r="77" spans="1:4" ht="15">
      <c r="A77" s="72" t="s">
        <v>319</v>
      </c>
      <c r="B77" s="72"/>
      <c r="C77" s="72" t="s">
        <v>386</v>
      </c>
      <c r="D77" s="72">
        <f>7+7+7</f>
        <v>21</v>
      </c>
    </row>
    <row r="78" spans="1:4" ht="15">
      <c r="A78" s="72" t="s">
        <v>320</v>
      </c>
      <c r="B78" s="72"/>
      <c r="C78" s="72" t="s">
        <v>371</v>
      </c>
      <c r="D78" s="72">
        <f>5+5</f>
        <v>10</v>
      </c>
    </row>
    <row r="79" spans="1:4" ht="15">
      <c r="A79" s="72" t="s">
        <v>321</v>
      </c>
      <c r="B79" s="72"/>
      <c r="C79" s="72" t="s">
        <v>377</v>
      </c>
      <c r="D79" s="72">
        <f>8+8+8</f>
        <v>24</v>
      </c>
    </row>
    <row r="80" spans="1:4" ht="15">
      <c r="A80" s="72" t="s">
        <v>341</v>
      </c>
      <c r="B80" s="72"/>
      <c r="C80" s="72" t="s">
        <v>328</v>
      </c>
      <c r="D80" s="72">
        <v>6</v>
      </c>
    </row>
    <row r="81" spans="1:4" ht="15">
      <c r="A81" s="72" t="s">
        <v>366</v>
      </c>
      <c r="B81" s="72"/>
      <c r="C81" s="72" t="s">
        <v>360</v>
      </c>
      <c r="D81" s="72">
        <v>5</v>
      </c>
    </row>
    <row r="82" spans="1:4" ht="15">
      <c r="A82" s="72" t="s">
        <v>367</v>
      </c>
      <c r="B82" s="72"/>
      <c r="C82" s="72" t="s">
        <v>394</v>
      </c>
      <c r="D82" s="72">
        <f>8+8</f>
        <v>16</v>
      </c>
    </row>
    <row r="83" spans="1:4" ht="15">
      <c r="A83" s="72" t="s">
        <v>368</v>
      </c>
      <c r="B83" s="72"/>
      <c r="C83" s="72" t="s">
        <v>394</v>
      </c>
      <c r="D83" s="72">
        <f>8+8</f>
        <v>16</v>
      </c>
    </row>
    <row r="84" spans="1:4" ht="15">
      <c r="A84" s="72" t="s">
        <v>376</v>
      </c>
      <c r="B84" s="72"/>
      <c r="C84" s="72" t="s">
        <v>385</v>
      </c>
      <c r="D84" s="72">
        <f>4+2</f>
        <v>6</v>
      </c>
    </row>
    <row r="85" spans="1:4" ht="15">
      <c r="A85" s="72" t="s">
        <v>389</v>
      </c>
      <c r="B85" s="72"/>
      <c r="C85" s="72" t="s">
        <v>390</v>
      </c>
      <c r="D85" s="72">
        <v>8</v>
      </c>
    </row>
    <row r="86" spans="1:4" s="73" customFormat="1" ht="15" customHeight="1">
      <c r="A86" s="87" t="s">
        <v>453</v>
      </c>
      <c r="B86" s="88"/>
      <c r="C86" s="72" t="s">
        <v>454</v>
      </c>
      <c r="D86" s="72">
        <v>0.6</v>
      </c>
    </row>
    <row r="87" spans="1:4" s="73" customFormat="1" ht="15" customHeight="1">
      <c r="A87" s="87" t="s">
        <v>455</v>
      </c>
      <c r="B87" s="88"/>
      <c r="C87" s="72" t="s">
        <v>400</v>
      </c>
      <c r="D87" s="72">
        <v>0.3</v>
      </c>
    </row>
    <row r="88" spans="1:4" s="73" customFormat="1" ht="15" customHeight="1">
      <c r="A88" s="87" t="s">
        <v>465</v>
      </c>
      <c r="B88" s="88"/>
      <c r="C88" s="72" t="s">
        <v>342</v>
      </c>
      <c r="D88" s="72">
        <v>1</v>
      </c>
    </row>
    <row r="89" spans="1:4" s="73" customFormat="1" ht="15" customHeight="1">
      <c r="A89" s="87" t="s">
        <v>1778</v>
      </c>
      <c r="B89" s="88"/>
      <c r="C89" s="72" t="s">
        <v>360</v>
      </c>
      <c r="D89" s="72">
        <v>2</v>
      </c>
    </row>
    <row r="90" spans="1:4" s="73" customFormat="1" ht="15" customHeight="1">
      <c r="A90" s="87" t="s">
        <v>649</v>
      </c>
      <c r="B90" s="88"/>
      <c r="C90" s="72" t="s">
        <v>400</v>
      </c>
      <c r="D90" s="72">
        <v>1.5</v>
      </c>
    </row>
    <row r="91" spans="1:4" s="73" customFormat="1" ht="15">
      <c r="A91" s="87" t="s">
        <v>773</v>
      </c>
      <c r="B91" s="93"/>
      <c r="C91" s="72" t="s">
        <v>784</v>
      </c>
      <c r="D91" s="72">
        <v>2</v>
      </c>
    </row>
    <row r="92" spans="1:4" s="73" customFormat="1" ht="15" customHeight="1">
      <c r="A92" s="87" t="s">
        <v>2341</v>
      </c>
      <c r="B92" s="88"/>
      <c r="C92" s="72" t="s">
        <v>400</v>
      </c>
      <c r="D92" s="72">
        <v>1</v>
      </c>
    </row>
    <row r="93" spans="1:4" s="73" customFormat="1" ht="15">
      <c r="A93" s="87" t="s">
        <v>2342</v>
      </c>
      <c r="B93" s="93"/>
      <c r="C93" s="72" t="s">
        <v>553</v>
      </c>
      <c r="D93" s="72">
        <v>4</v>
      </c>
    </row>
    <row r="94" spans="1:4" s="73" customFormat="1" ht="15" customHeight="1">
      <c r="A94" s="142" t="s">
        <v>465</v>
      </c>
      <c r="B94" s="140"/>
      <c r="C94" s="109" t="s">
        <v>342</v>
      </c>
      <c r="D94" s="109">
        <v>1</v>
      </c>
    </row>
    <row r="95" spans="1:4" ht="15">
      <c r="A95" s="142" t="s">
        <v>648</v>
      </c>
      <c r="B95" s="140"/>
      <c r="C95" s="109"/>
      <c r="D95" s="109"/>
    </row>
    <row r="96" spans="1:4" ht="15" customHeight="1">
      <c r="A96" s="143" t="s">
        <v>645</v>
      </c>
      <c r="B96" s="144"/>
      <c r="C96" s="109"/>
      <c r="D96" s="109"/>
    </row>
    <row r="97" spans="1:4" ht="15" customHeight="1">
      <c r="A97" s="145" t="s">
        <v>80</v>
      </c>
      <c r="B97" s="146"/>
      <c r="C97" s="109"/>
      <c r="D97" s="109"/>
    </row>
    <row r="98" spans="1:4" ht="15" customHeight="1">
      <c r="A98" s="143" t="s">
        <v>82</v>
      </c>
      <c r="B98" s="144"/>
      <c r="C98" s="109"/>
      <c r="D98" s="109"/>
    </row>
    <row r="99" spans="1:4" ht="15">
      <c r="A99" s="143" t="s">
        <v>84</v>
      </c>
      <c r="B99" s="144"/>
      <c r="C99" s="109"/>
      <c r="D99" s="109"/>
    </row>
    <row r="100" spans="1:4" ht="15" customHeight="1">
      <c r="A100" s="143" t="s">
        <v>86</v>
      </c>
      <c r="B100" s="144"/>
      <c r="C100" s="109"/>
      <c r="D100" s="109"/>
    </row>
    <row r="101" spans="1:4" ht="15" customHeight="1">
      <c r="A101" s="147" t="s">
        <v>88</v>
      </c>
      <c r="B101" s="148"/>
      <c r="C101" s="109"/>
      <c r="D101" s="109"/>
    </row>
    <row r="102" spans="1:4" ht="15">
      <c r="A102" s="488" t="s">
        <v>90</v>
      </c>
      <c r="B102" s="489"/>
      <c r="C102" s="109"/>
      <c r="D102" s="109"/>
    </row>
    <row r="103" spans="1:4" s="94" customFormat="1" ht="28.5">
      <c r="A103" s="312" t="s">
        <v>2136</v>
      </c>
      <c r="B103" s="116"/>
      <c r="C103" s="72" t="s">
        <v>678</v>
      </c>
      <c r="D103" s="72">
        <f>3*2*130</f>
        <v>780</v>
      </c>
    </row>
    <row r="104" spans="1:4" s="94" customFormat="1" ht="15">
      <c r="A104" s="312" t="s">
        <v>2137</v>
      </c>
      <c r="B104" s="116"/>
      <c r="C104" s="72" t="s">
        <v>279</v>
      </c>
      <c r="D104" s="72">
        <v>130</v>
      </c>
    </row>
    <row r="105" spans="1:4" s="94" customFormat="1" ht="15">
      <c r="A105" s="312" t="s">
        <v>2138</v>
      </c>
      <c r="B105" s="116"/>
      <c r="C105" s="72" t="s">
        <v>1790</v>
      </c>
      <c r="D105" s="72">
        <f>1.5*130</f>
        <v>195</v>
      </c>
    </row>
    <row r="106" spans="1:4" s="94" customFormat="1" ht="15">
      <c r="A106" s="312" t="s">
        <v>2139</v>
      </c>
      <c r="B106" s="116"/>
      <c r="C106" s="72" t="s">
        <v>400</v>
      </c>
      <c r="D106" s="72">
        <f>0.5*130</f>
        <v>65</v>
      </c>
    </row>
    <row r="107" spans="1:4" s="94" customFormat="1" ht="15">
      <c r="A107" s="312" t="s">
        <v>2140</v>
      </c>
      <c r="B107" s="116"/>
      <c r="C107" s="72" t="s">
        <v>279</v>
      </c>
      <c r="D107" s="72">
        <f>130</f>
        <v>130</v>
      </c>
    </row>
    <row r="108" spans="1:4" s="94" customFormat="1" ht="15">
      <c r="A108" s="312" t="s">
        <v>2141</v>
      </c>
      <c r="B108" s="116"/>
      <c r="C108" s="72" t="s">
        <v>390</v>
      </c>
      <c r="D108" s="72">
        <f>0.3*130</f>
        <v>39</v>
      </c>
    </row>
    <row r="109" spans="1:4" s="94" customFormat="1" ht="15">
      <c r="A109" s="312" t="s">
        <v>2142</v>
      </c>
      <c r="B109" s="116"/>
      <c r="C109" s="72" t="s">
        <v>328</v>
      </c>
      <c r="D109" s="72">
        <f>0.3*130</f>
        <v>39</v>
      </c>
    </row>
    <row r="110" spans="1:4" s="94" customFormat="1" ht="30">
      <c r="A110" s="312" t="s">
        <v>2143</v>
      </c>
      <c r="B110" s="116"/>
      <c r="C110" s="105" t="s">
        <v>2144</v>
      </c>
      <c r="D110" s="72">
        <f>130+130*0.4+130</f>
        <v>312</v>
      </c>
    </row>
    <row r="111" spans="1:4" ht="15">
      <c r="A111" s="327" t="s">
        <v>1736</v>
      </c>
      <c r="B111" s="91"/>
      <c r="C111" s="72" t="s">
        <v>279</v>
      </c>
      <c r="D111" s="72">
        <f>130*0.5</f>
        <v>65</v>
      </c>
    </row>
    <row r="112" spans="1:4" ht="15">
      <c r="A112" s="327" t="s">
        <v>791</v>
      </c>
      <c r="B112" s="91"/>
      <c r="C112" s="72" t="s">
        <v>360</v>
      </c>
      <c r="D112" s="72">
        <f>0.4*130</f>
        <v>52</v>
      </c>
    </row>
    <row r="113" spans="1:4" s="94" customFormat="1" ht="15">
      <c r="A113" s="312" t="s">
        <v>2145</v>
      </c>
      <c r="B113" s="116"/>
      <c r="C113" s="72" t="s">
        <v>279</v>
      </c>
      <c r="D113" s="72">
        <f>130*5</f>
        <v>650</v>
      </c>
    </row>
    <row r="114" spans="1:4" s="94" customFormat="1" ht="15">
      <c r="A114" s="312" t="s">
        <v>2146</v>
      </c>
      <c r="B114" s="116"/>
      <c r="C114" s="72" t="s">
        <v>279</v>
      </c>
      <c r="D114" s="72">
        <f>2*130</f>
        <v>260</v>
      </c>
    </row>
    <row r="115" spans="1:4" s="94" customFormat="1" ht="30">
      <c r="A115" s="312" t="s">
        <v>2147</v>
      </c>
      <c r="B115" s="116"/>
      <c r="C115" s="105" t="s">
        <v>961</v>
      </c>
      <c r="D115" s="72">
        <f>130*3</f>
        <v>390</v>
      </c>
    </row>
    <row r="116" spans="1:4" ht="15">
      <c r="A116" s="327" t="s">
        <v>1737</v>
      </c>
      <c r="B116" s="91"/>
      <c r="C116" s="72" t="s">
        <v>279</v>
      </c>
      <c r="D116" s="72">
        <f>130*0.5</f>
        <v>65</v>
      </c>
    </row>
    <row r="117" spans="1:4" ht="15">
      <c r="A117" s="327" t="s">
        <v>2148</v>
      </c>
      <c r="B117" s="91"/>
      <c r="C117" s="72" t="s">
        <v>279</v>
      </c>
      <c r="D117" s="72">
        <f>5*130</f>
        <v>650</v>
      </c>
    </row>
    <row r="118" spans="1:4" ht="15">
      <c r="A118" s="327" t="s">
        <v>2149</v>
      </c>
      <c r="B118" s="91"/>
      <c r="C118" s="72" t="s">
        <v>279</v>
      </c>
      <c r="D118" s="72">
        <v>130</v>
      </c>
    </row>
    <row r="119" spans="1:4" ht="15.75" thickBot="1">
      <c r="A119" s="327" t="s">
        <v>803</v>
      </c>
      <c r="B119" s="91"/>
      <c r="C119" s="72"/>
      <c r="D119" s="72">
        <f>6111.44-160</f>
        <v>5951.44</v>
      </c>
    </row>
    <row r="120" spans="1:4" s="94" customFormat="1" ht="15.75" thickBot="1">
      <c r="A120" s="543" t="s">
        <v>2157</v>
      </c>
      <c r="B120" s="544"/>
      <c r="C120" s="72"/>
      <c r="D120" s="72">
        <f>2867.7+130*4</f>
        <v>3387.7</v>
      </c>
    </row>
    <row r="121" spans="1:5" ht="15">
      <c r="A121" s="327" t="s">
        <v>2182</v>
      </c>
      <c r="B121" s="91"/>
      <c r="C121" s="72" t="s">
        <v>342</v>
      </c>
      <c r="D121" s="72">
        <v>65</v>
      </c>
      <c r="E121">
        <v>0.5</v>
      </c>
    </row>
    <row r="122" spans="1:5" ht="15">
      <c r="A122" s="327" t="s">
        <v>2183</v>
      </c>
      <c r="B122" s="91"/>
      <c r="C122" s="72" t="s">
        <v>279</v>
      </c>
      <c r="D122" s="72">
        <f>1.5*130</f>
        <v>195</v>
      </c>
      <c r="E122">
        <v>1.5</v>
      </c>
    </row>
    <row r="123" spans="1:5" ht="15">
      <c r="A123" s="327" t="s">
        <v>2184</v>
      </c>
      <c r="B123" s="91"/>
      <c r="C123" s="72" t="s">
        <v>961</v>
      </c>
      <c r="D123" s="72">
        <f>130*3</f>
        <v>390</v>
      </c>
      <c r="E123">
        <v>3</v>
      </c>
    </row>
    <row r="124" spans="1:5" ht="15">
      <c r="A124" s="327" t="s">
        <v>2185</v>
      </c>
      <c r="B124" s="91"/>
      <c r="C124" s="72" t="s">
        <v>279</v>
      </c>
      <c r="D124" s="72">
        <v>130</v>
      </c>
      <c r="E124">
        <v>1</v>
      </c>
    </row>
    <row r="125" spans="1:5" ht="15">
      <c r="A125" s="327" t="s">
        <v>2186</v>
      </c>
      <c r="B125" s="91"/>
      <c r="C125" s="72" t="s">
        <v>328</v>
      </c>
      <c r="D125" s="72">
        <v>65</v>
      </c>
      <c r="E125">
        <v>0.5</v>
      </c>
    </row>
    <row r="126" spans="1:5" ht="15">
      <c r="A126" s="327" t="s">
        <v>2187</v>
      </c>
      <c r="B126" s="91"/>
      <c r="C126" s="72" t="s">
        <v>400</v>
      </c>
      <c r="D126" s="72">
        <v>65</v>
      </c>
      <c r="E126">
        <v>0.5</v>
      </c>
    </row>
    <row r="127" spans="1:5" ht="15">
      <c r="A127" s="327" t="s">
        <v>2188</v>
      </c>
      <c r="B127" s="91"/>
      <c r="C127" s="72" t="s">
        <v>447</v>
      </c>
      <c r="D127" s="72">
        <v>130</v>
      </c>
      <c r="E127">
        <v>1</v>
      </c>
    </row>
    <row r="128" spans="1:5" ht="15">
      <c r="A128" s="328" t="s">
        <v>822</v>
      </c>
      <c r="B128" s="253"/>
      <c r="C128" s="72" t="s">
        <v>279</v>
      </c>
      <c r="D128" s="72">
        <f>130*0.5</f>
        <v>65</v>
      </c>
      <c r="E128">
        <v>0.5</v>
      </c>
    </row>
    <row r="129" spans="1:5" ht="28.5">
      <c r="A129" s="327" t="s">
        <v>2189</v>
      </c>
      <c r="B129" s="91"/>
      <c r="C129" s="72" t="s">
        <v>279</v>
      </c>
      <c r="D129" s="72">
        <v>130</v>
      </c>
      <c r="E129">
        <v>1</v>
      </c>
    </row>
    <row r="130" spans="1:5" ht="15">
      <c r="A130" s="327" t="s">
        <v>2190</v>
      </c>
      <c r="B130" s="91"/>
      <c r="C130" s="72" t="s">
        <v>309</v>
      </c>
      <c r="D130" s="72">
        <f>8*130</f>
        <v>1040</v>
      </c>
      <c r="E130">
        <v>8</v>
      </c>
    </row>
    <row r="131" spans="1:5" ht="15">
      <c r="A131" s="327" t="s">
        <v>2191</v>
      </c>
      <c r="B131" s="91"/>
      <c r="C131" s="72" t="s">
        <v>401</v>
      </c>
      <c r="D131" s="72">
        <v>260</v>
      </c>
      <c r="E131">
        <v>2</v>
      </c>
    </row>
    <row r="132" spans="1:5" ht="15">
      <c r="A132" s="327" t="s">
        <v>2192</v>
      </c>
      <c r="B132" s="91"/>
      <c r="C132" s="72" t="s">
        <v>347</v>
      </c>
      <c r="D132" s="72">
        <f>2*130</f>
        <v>260</v>
      </c>
      <c r="E132">
        <v>2</v>
      </c>
    </row>
    <row r="133" spans="1:5" ht="15">
      <c r="A133" s="327" t="s">
        <v>2193</v>
      </c>
      <c r="B133" s="91"/>
      <c r="C133" s="72" t="s">
        <v>1122</v>
      </c>
      <c r="D133" s="72">
        <v>130</v>
      </c>
      <c r="E133">
        <v>1</v>
      </c>
    </row>
    <row r="134" spans="1:5" ht="15">
      <c r="A134" s="327" t="s">
        <v>2194</v>
      </c>
      <c r="B134" s="91"/>
      <c r="C134" s="72" t="s">
        <v>553</v>
      </c>
      <c r="D134" s="72">
        <f>2*130</f>
        <v>260</v>
      </c>
      <c r="E134">
        <v>2</v>
      </c>
    </row>
    <row r="135" spans="1:5" ht="15">
      <c r="A135" s="327" t="s">
        <v>2195</v>
      </c>
      <c r="B135" s="91"/>
      <c r="C135" s="72" t="s">
        <v>359</v>
      </c>
      <c r="D135" s="72">
        <v>260</v>
      </c>
      <c r="E135">
        <v>2</v>
      </c>
    </row>
    <row r="136" spans="1:5" ht="15">
      <c r="A136" s="327" t="s">
        <v>2196</v>
      </c>
      <c r="B136" s="91"/>
      <c r="C136" s="72" t="s">
        <v>1786</v>
      </c>
      <c r="D136" s="72">
        <v>260</v>
      </c>
      <c r="E136">
        <v>2</v>
      </c>
    </row>
    <row r="137" spans="1:5" ht="15">
      <c r="A137" s="327" t="s">
        <v>2197</v>
      </c>
      <c r="B137" s="91"/>
      <c r="C137" s="72" t="s">
        <v>359</v>
      </c>
      <c r="D137" s="72">
        <v>260</v>
      </c>
      <c r="E137">
        <v>2</v>
      </c>
    </row>
    <row r="138" spans="1:5" ht="15">
      <c r="A138" s="327" t="s">
        <v>2198</v>
      </c>
      <c r="B138" s="91"/>
      <c r="C138" s="72" t="s">
        <v>813</v>
      </c>
      <c r="D138" s="72">
        <v>260</v>
      </c>
      <c r="E138">
        <v>2</v>
      </c>
    </row>
    <row r="139" spans="1:5" ht="15">
      <c r="A139" s="327" t="s">
        <v>2199</v>
      </c>
      <c r="B139" s="91"/>
      <c r="C139" s="72" t="s">
        <v>401</v>
      </c>
      <c r="D139" s="72">
        <f>2*130*3</f>
        <v>780</v>
      </c>
      <c r="E139">
        <v>6</v>
      </c>
    </row>
    <row r="140" spans="1:5" ht="15">
      <c r="A140" s="327" t="s">
        <v>2200</v>
      </c>
      <c r="B140" s="91"/>
      <c r="C140" s="72" t="s">
        <v>342</v>
      </c>
      <c r="D140" s="72">
        <f>130*4</f>
        <v>520</v>
      </c>
      <c r="E140">
        <v>4</v>
      </c>
    </row>
    <row r="141" spans="1:5" ht="15">
      <c r="A141" s="327" t="s">
        <v>2201</v>
      </c>
      <c r="B141" s="91"/>
      <c r="C141" s="72" t="s">
        <v>360</v>
      </c>
      <c r="D141" s="72">
        <f>130*8</f>
        <v>1040</v>
      </c>
      <c r="E141">
        <v>8</v>
      </c>
    </row>
    <row r="142" spans="1:5" ht="15">
      <c r="A142" s="327" t="s">
        <v>2202</v>
      </c>
      <c r="B142" s="91"/>
      <c r="C142" s="72" t="s">
        <v>1786</v>
      </c>
      <c r="D142" s="72">
        <f>130*2*0.5</f>
        <v>130</v>
      </c>
      <c r="E142">
        <v>1</v>
      </c>
    </row>
    <row r="143" spans="1:5" ht="15">
      <c r="A143" s="327" t="s">
        <v>2203</v>
      </c>
      <c r="B143" s="91"/>
      <c r="C143" s="72" t="s">
        <v>1786</v>
      </c>
      <c r="D143" s="72">
        <f>130*2*2</f>
        <v>520</v>
      </c>
      <c r="E143">
        <v>4</v>
      </c>
    </row>
    <row r="144" spans="1:5" ht="15" customHeight="1">
      <c r="A144" s="401" t="s">
        <v>2224</v>
      </c>
      <c r="B144" s="402"/>
      <c r="C144" s="181" t="s">
        <v>400</v>
      </c>
      <c r="D144" s="199">
        <v>1</v>
      </c>
      <c r="E144">
        <v>1</v>
      </c>
    </row>
    <row r="145" spans="1:5" ht="15" customHeight="1">
      <c r="A145" s="401" t="s">
        <v>2225</v>
      </c>
      <c r="B145" s="401"/>
      <c r="C145" s="181" t="s">
        <v>360</v>
      </c>
      <c r="D145" s="199">
        <v>2.5</v>
      </c>
      <c r="E145">
        <v>2.5</v>
      </c>
    </row>
    <row r="146" spans="1:5" ht="15">
      <c r="A146" s="402" t="s">
        <v>2226</v>
      </c>
      <c r="B146" s="413"/>
      <c r="C146" s="181" t="s">
        <v>279</v>
      </c>
      <c r="D146" s="199">
        <v>1</v>
      </c>
      <c r="E146">
        <v>1</v>
      </c>
    </row>
    <row r="147" spans="1:5" ht="15.75" customHeight="1">
      <c r="A147" s="424" t="s">
        <v>2227</v>
      </c>
      <c r="B147" s="425"/>
      <c r="C147" s="181" t="s">
        <v>359</v>
      </c>
      <c r="D147" s="199">
        <f>5+4</f>
        <v>9</v>
      </c>
      <c r="E147">
        <v>9</v>
      </c>
    </row>
    <row r="148" spans="1:5" ht="15.75" customHeight="1">
      <c r="A148" s="312" t="s">
        <v>2228</v>
      </c>
      <c r="B148" s="116"/>
      <c r="C148" s="181" t="s">
        <v>360</v>
      </c>
      <c r="D148" s="199">
        <v>3.5</v>
      </c>
      <c r="E148">
        <v>3.5</v>
      </c>
    </row>
    <row r="149" spans="1:4" s="73" customFormat="1" ht="15" customHeight="1">
      <c r="A149" s="401" t="s">
        <v>2238</v>
      </c>
      <c r="B149" s="402"/>
      <c r="C149" s="72" t="s">
        <v>378</v>
      </c>
      <c r="D149" s="72">
        <f>2+2</f>
        <v>4</v>
      </c>
    </row>
    <row r="150" spans="1:4" s="73" customFormat="1" ht="15" customHeight="1">
      <c r="A150" s="401" t="s">
        <v>2239</v>
      </c>
      <c r="B150" s="402"/>
      <c r="C150" s="72" t="s">
        <v>279</v>
      </c>
      <c r="D150" s="72">
        <v>2</v>
      </c>
    </row>
    <row r="151" spans="1:4" s="73" customFormat="1" ht="15">
      <c r="A151" s="402" t="s">
        <v>2240</v>
      </c>
      <c r="B151" s="413"/>
      <c r="C151" s="72" t="s">
        <v>342</v>
      </c>
      <c r="D151" s="72">
        <v>2</v>
      </c>
    </row>
    <row r="152" spans="1:4" s="73" customFormat="1" ht="15.75" customHeight="1">
      <c r="A152" s="424" t="s">
        <v>2241</v>
      </c>
      <c r="B152" s="425"/>
      <c r="C152" s="72" t="s">
        <v>390</v>
      </c>
      <c r="D152" s="72">
        <v>3</v>
      </c>
    </row>
    <row r="153" spans="1:4" s="73" customFormat="1" ht="15.75" customHeight="1">
      <c r="A153" s="321" t="s">
        <v>2242</v>
      </c>
      <c r="B153" s="116"/>
      <c r="C153" s="72" t="s">
        <v>390</v>
      </c>
      <c r="D153" s="72">
        <v>1.5</v>
      </c>
    </row>
    <row r="154" spans="1:4" s="73" customFormat="1" ht="15" customHeight="1">
      <c r="A154" s="401" t="s">
        <v>2249</v>
      </c>
      <c r="B154" s="402"/>
      <c r="C154" s="72" t="s">
        <v>2250</v>
      </c>
      <c r="D154" s="72">
        <v>3</v>
      </c>
    </row>
    <row r="155" spans="1:4" s="73" customFormat="1" ht="15" customHeight="1">
      <c r="A155" s="401" t="s">
        <v>2251</v>
      </c>
      <c r="B155" s="401"/>
      <c r="C155" s="72" t="s">
        <v>342</v>
      </c>
      <c r="D155" s="72">
        <v>1</v>
      </c>
    </row>
    <row r="156" spans="1:4" s="73" customFormat="1" ht="15">
      <c r="A156" s="402" t="s">
        <v>2252</v>
      </c>
      <c r="B156" s="413"/>
      <c r="C156" s="72" t="s">
        <v>400</v>
      </c>
      <c r="D156" s="72">
        <v>1.5</v>
      </c>
    </row>
    <row r="157" spans="1:4" s="73" customFormat="1" ht="31.5" customHeight="1">
      <c r="A157" s="424" t="s">
        <v>2253</v>
      </c>
      <c r="B157" s="425"/>
      <c r="C157" s="72" t="s">
        <v>342</v>
      </c>
      <c r="D157" s="72">
        <v>1</v>
      </c>
    </row>
    <row r="158" spans="1:4" s="73" customFormat="1" ht="15.75" customHeight="1">
      <c r="A158" s="312" t="s">
        <v>2254</v>
      </c>
      <c r="B158" s="116"/>
      <c r="C158" s="72" t="s">
        <v>461</v>
      </c>
      <c r="D158" s="72">
        <f>1.5+3</f>
        <v>4.5</v>
      </c>
    </row>
    <row r="159" spans="1:4" s="73" customFormat="1" ht="15.75" customHeight="1">
      <c r="A159" s="312" t="s">
        <v>2255</v>
      </c>
      <c r="B159" s="116"/>
      <c r="C159" s="72" t="s">
        <v>279</v>
      </c>
      <c r="D159" s="72">
        <v>1.5</v>
      </c>
    </row>
    <row r="160" spans="1:4" s="73" customFormat="1" ht="15.75" customHeight="1">
      <c r="A160" s="312" t="s">
        <v>550</v>
      </c>
      <c r="B160" s="116"/>
      <c r="C160" s="72" t="s">
        <v>553</v>
      </c>
      <c r="D160" s="72">
        <f>8+8</f>
        <v>16</v>
      </c>
    </row>
    <row r="161" spans="1:4" s="73" customFormat="1" ht="37.5" customHeight="1">
      <c r="A161" s="401" t="s">
        <v>2260</v>
      </c>
      <c r="B161" s="402"/>
      <c r="C161" s="72" t="s">
        <v>279</v>
      </c>
      <c r="D161" s="72">
        <v>4</v>
      </c>
    </row>
    <row r="162" spans="1:4" s="73" customFormat="1" ht="31.5" customHeight="1">
      <c r="A162" s="401" t="s">
        <v>1806</v>
      </c>
      <c r="B162" s="402"/>
      <c r="C162" s="72" t="s">
        <v>279</v>
      </c>
      <c r="D162" s="72">
        <v>1</v>
      </c>
    </row>
    <row r="163" spans="1:4" s="73" customFormat="1" ht="15">
      <c r="A163" s="402" t="s">
        <v>2261</v>
      </c>
      <c r="B163" s="413"/>
      <c r="C163" s="72" t="s">
        <v>243</v>
      </c>
      <c r="D163" s="72">
        <v>2</v>
      </c>
    </row>
    <row r="164" spans="1:4" s="73" customFormat="1" ht="28.5">
      <c r="A164" s="313" t="s">
        <v>2262</v>
      </c>
      <c r="B164" s="116"/>
      <c r="C164" s="72" t="s">
        <v>577</v>
      </c>
      <c r="D164" s="72">
        <v>2</v>
      </c>
    </row>
    <row r="165" spans="1:4" s="73" customFormat="1" ht="15.75" customHeight="1">
      <c r="A165" s="312" t="s">
        <v>2263</v>
      </c>
      <c r="B165" s="116"/>
      <c r="C165" s="72" t="s">
        <v>279</v>
      </c>
      <c r="D165" s="72">
        <v>0.5</v>
      </c>
    </row>
    <row r="166" spans="1:4" s="73" customFormat="1" ht="23.25" customHeight="1">
      <c r="A166" s="424" t="s">
        <v>2264</v>
      </c>
      <c r="B166" s="425"/>
      <c r="C166" s="72" t="s">
        <v>279</v>
      </c>
      <c r="D166" s="72">
        <v>1</v>
      </c>
    </row>
    <row r="167" spans="1:4" ht="15">
      <c r="A167" s="181" t="s">
        <v>610</v>
      </c>
      <c r="C167" s="267" t="s">
        <v>613</v>
      </c>
      <c r="D167" s="267">
        <v>3.5</v>
      </c>
    </row>
    <row r="168" spans="1:4" ht="15">
      <c r="A168" s="182" t="s">
        <v>713</v>
      </c>
      <c r="B168" s="181"/>
      <c r="C168" s="181" t="s">
        <v>714</v>
      </c>
      <c r="D168" s="181">
        <v>4</v>
      </c>
    </row>
    <row r="169" spans="1:4" s="73" customFormat="1" ht="31.5" customHeight="1">
      <c r="A169" s="401" t="s">
        <v>718</v>
      </c>
      <c r="B169" s="402"/>
      <c r="C169" s="72" t="s">
        <v>714</v>
      </c>
      <c r="D169" s="72">
        <v>4</v>
      </c>
    </row>
    <row r="170" spans="1:4" s="73" customFormat="1" ht="33" customHeight="1">
      <c r="A170" s="402" t="s">
        <v>719</v>
      </c>
      <c r="B170" s="413"/>
      <c r="C170" s="72" t="s">
        <v>714</v>
      </c>
      <c r="D170" s="72">
        <v>4</v>
      </c>
    </row>
    <row r="171" spans="1:4" s="73" customFormat="1" ht="15">
      <c r="A171" s="168" t="s">
        <v>727</v>
      </c>
      <c r="B171" s="116"/>
      <c r="C171" s="72" t="s">
        <v>724</v>
      </c>
      <c r="D171" s="72">
        <v>3</v>
      </c>
    </row>
    <row r="172" spans="1:4" s="73" customFormat="1" ht="15.75" customHeight="1">
      <c r="A172" s="167" t="s">
        <v>763</v>
      </c>
      <c r="B172" s="116"/>
      <c r="C172" s="72" t="s">
        <v>613</v>
      </c>
      <c r="D172" s="72">
        <v>2</v>
      </c>
    </row>
    <row r="173" spans="1:4" s="73" customFormat="1" ht="15.75" customHeight="1">
      <c r="A173" s="424" t="s">
        <v>785</v>
      </c>
      <c r="B173" s="425"/>
      <c r="C173" s="72" t="s">
        <v>592</v>
      </c>
      <c r="D173" s="72">
        <v>6</v>
      </c>
    </row>
    <row r="174" spans="1:4" s="73" customFormat="1" ht="15">
      <c r="A174" s="182" t="s">
        <v>2270</v>
      </c>
      <c r="B174" s="72"/>
      <c r="C174" s="72" t="s">
        <v>592</v>
      </c>
      <c r="D174" s="72">
        <v>3</v>
      </c>
    </row>
    <row r="175" spans="1:4" s="73" customFormat="1" ht="22.5" customHeight="1">
      <c r="A175" s="401" t="s">
        <v>2271</v>
      </c>
      <c r="B175" s="402"/>
      <c r="C175" s="72" t="s">
        <v>592</v>
      </c>
      <c r="D175" s="72">
        <v>3</v>
      </c>
    </row>
    <row r="176" spans="1:4" s="73" customFormat="1" ht="19.5" customHeight="1">
      <c r="A176" s="402" t="s">
        <v>2272</v>
      </c>
      <c r="B176" s="413"/>
      <c r="C176" s="72" t="s">
        <v>2273</v>
      </c>
      <c r="D176" s="72">
        <v>1</v>
      </c>
    </row>
    <row r="177" spans="1:4" s="73" customFormat="1" ht="15">
      <c r="A177" s="313" t="s">
        <v>2274</v>
      </c>
      <c r="B177" s="116"/>
      <c r="C177" s="72" t="s">
        <v>2275</v>
      </c>
      <c r="D177" s="72">
        <v>4</v>
      </c>
    </row>
    <row r="178" spans="1:4" s="73" customFormat="1" ht="15">
      <c r="A178" s="182" t="s">
        <v>2285</v>
      </c>
      <c r="B178" s="72"/>
      <c r="C178" s="72" t="s">
        <v>2286</v>
      </c>
      <c r="D178" s="72">
        <v>2</v>
      </c>
    </row>
    <row r="179" spans="1:4" s="73" customFormat="1" ht="22.5" customHeight="1">
      <c r="A179" s="401" t="s">
        <v>2287</v>
      </c>
      <c r="B179" s="402"/>
      <c r="C179" s="72" t="s">
        <v>2288</v>
      </c>
      <c r="D179" s="72">
        <v>2</v>
      </c>
    </row>
    <row r="180" spans="1:4" s="73" customFormat="1" ht="19.5" customHeight="1">
      <c r="A180" s="402" t="s">
        <v>2289</v>
      </c>
      <c r="B180" s="413"/>
      <c r="C180" s="72" t="s">
        <v>279</v>
      </c>
      <c r="D180" s="72">
        <v>2</v>
      </c>
    </row>
    <row r="181" spans="1:4" s="73" customFormat="1" ht="19.5" customHeight="1">
      <c r="A181" s="402" t="s">
        <v>2290</v>
      </c>
      <c r="B181" s="413"/>
      <c r="C181" s="72" t="s">
        <v>279</v>
      </c>
      <c r="D181" s="72">
        <v>2</v>
      </c>
    </row>
    <row r="182" spans="1:4" s="73" customFormat="1" ht="15.75" customHeight="1">
      <c r="A182" s="312" t="s">
        <v>2291</v>
      </c>
      <c r="B182" s="116"/>
      <c r="C182" s="72" t="s">
        <v>613</v>
      </c>
      <c r="D182" s="72">
        <v>2</v>
      </c>
    </row>
    <row r="183" spans="1:4" s="73" customFormat="1" ht="17.25" customHeight="1">
      <c r="A183" s="182" t="s">
        <v>2308</v>
      </c>
      <c r="B183" s="72"/>
      <c r="C183" s="72" t="s">
        <v>592</v>
      </c>
      <c r="D183" s="72">
        <v>2</v>
      </c>
    </row>
    <row r="184" spans="1:4" s="73" customFormat="1" ht="29.25" customHeight="1">
      <c r="A184" s="401" t="s">
        <v>2309</v>
      </c>
      <c r="B184" s="402"/>
      <c r="C184" s="72" t="s">
        <v>1083</v>
      </c>
      <c r="D184" s="72">
        <v>0.5</v>
      </c>
    </row>
    <row r="185" spans="1:4" s="73" customFormat="1" ht="30" customHeight="1">
      <c r="A185" s="402" t="s">
        <v>2310</v>
      </c>
      <c r="B185" s="413"/>
      <c r="C185" s="105" t="s">
        <v>2311</v>
      </c>
      <c r="D185" s="72">
        <v>1.5</v>
      </c>
    </row>
    <row r="186" spans="1:4" s="73" customFormat="1" ht="33.75" customHeight="1">
      <c r="A186" s="402" t="s">
        <v>2312</v>
      </c>
      <c r="B186" s="413"/>
      <c r="C186" s="72" t="s">
        <v>2313</v>
      </c>
      <c r="D186" s="72">
        <v>18</v>
      </c>
    </row>
    <row r="187" spans="1:4" s="73" customFormat="1" ht="42.75" customHeight="1">
      <c r="A187" s="312" t="s">
        <v>2314</v>
      </c>
      <c r="B187" s="116"/>
      <c r="C187" s="72" t="s">
        <v>613</v>
      </c>
      <c r="D187" s="72">
        <v>4</v>
      </c>
    </row>
    <row r="188" spans="1:4" s="73" customFormat="1" ht="29.25" customHeight="1">
      <c r="A188" s="312" t="s">
        <v>1941</v>
      </c>
      <c r="B188" s="318"/>
      <c r="C188" s="72" t="s">
        <v>309</v>
      </c>
      <c r="D188" s="72">
        <v>3</v>
      </c>
    </row>
    <row r="189" spans="1:4" s="94" customFormat="1" ht="30" customHeight="1">
      <c r="A189" s="220" t="s">
        <v>2315</v>
      </c>
      <c r="C189" s="348" t="s">
        <v>1083</v>
      </c>
      <c r="D189" s="348">
        <v>1</v>
      </c>
    </row>
    <row r="190" spans="1:4" s="94" customFormat="1" ht="15.75" customHeight="1">
      <c r="A190" s="323" t="s">
        <v>2316</v>
      </c>
      <c r="B190" s="349"/>
      <c r="C190" s="199" t="s">
        <v>279</v>
      </c>
      <c r="D190" s="199">
        <v>2</v>
      </c>
    </row>
    <row r="191" spans="1:4" s="73" customFormat="1" ht="30.75" customHeight="1">
      <c r="A191" s="312" t="s">
        <v>2317</v>
      </c>
      <c r="B191" s="116"/>
      <c r="C191" s="72" t="s">
        <v>378</v>
      </c>
      <c r="D191" s="72">
        <v>1</v>
      </c>
    </row>
    <row r="192" spans="1:4" s="73" customFormat="1" ht="15.75" customHeight="1">
      <c r="A192" s="312" t="s">
        <v>2318</v>
      </c>
      <c r="B192" s="116"/>
      <c r="C192" s="72" t="s">
        <v>2319</v>
      </c>
      <c r="D192" s="72">
        <v>1</v>
      </c>
    </row>
    <row r="193" spans="1:4" s="73" customFormat="1" ht="30.75" customHeight="1">
      <c r="A193" s="312" t="s">
        <v>2320</v>
      </c>
      <c r="B193" s="116"/>
      <c r="C193" s="72" t="s">
        <v>2321</v>
      </c>
      <c r="D193" s="72">
        <v>2</v>
      </c>
    </row>
    <row r="194" spans="1:4" s="73" customFormat="1" ht="33" customHeight="1">
      <c r="A194" s="321" t="s">
        <v>905</v>
      </c>
      <c r="B194" s="322"/>
      <c r="C194" s="105" t="s">
        <v>906</v>
      </c>
      <c r="D194" s="72">
        <v>1.2</v>
      </c>
    </row>
    <row r="195" spans="1:4" s="73" customFormat="1" ht="15">
      <c r="A195" s="402" t="s">
        <v>907</v>
      </c>
      <c r="B195" s="413"/>
      <c r="C195" s="72" t="s">
        <v>908</v>
      </c>
      <c r="D195" s="72">
        <v>2.25</v>
      </c>
    </row>
    <row r="196" spans="1:4" s="73" customFormat="1" ht="15">
      <c r="A196" s="313" t="s">
        <v>2322</v>
      </c>
      <c r="B196" s="116"/>
      <c r="C196" s="72" t="s">
        <v>433</v>
      </c>
      <c r="D196" s="72">
        <v>5</v>
      </c>
    </row>
    <row r="197" spans="1:4" s="73" customFormat="1" ht="28.5">
      <c r="A197" s="313" t="s">
        <v>2323</v>
      </c>
      <c r="B197" s="116"/>
      <c r="C197" s="72" t="s">
        <v>613</v>
      </c>
      <c r="D197" s="72">
        <v>2</v>
      </c>
    </row>
    <row r="198" spans="1:4" s="73" customFormat="1" ht="15">
      <c r="A198" s="313" t="s">
        <v>2324</v>
      </c>
      <c r="B198" s="116"/>
      <c r="C198" s="72" t="s">
        <v>328</v>
      </c>
      <c r="D198" s="72">
        <v>0.5</v>
      </c>
    </row>
    <row r="199" spans="1:4" ht="28.5">
      <c r="A199" s="312" t="s">
        <v>2325</v>
      </c>
      <c r="C199" s="181" t="s">
        <v>433</v>
      </c>
      <c r="D199" s="181">
        <v>8</v>
      </c>
    </row>
    <row r="200" spans="1:4" s="73" customFormat="1" ht="32.25" customHeight="1">
      <c r="A200" s="312" t="s">
        <v>2326</v>
      </c>
      <c r="B200" s="116"/>
      <c r="C200" s="72" t="s">
        <v>279</v>
      </c>
      <c r="D200" s="72">
        <v>2</v>
      </c>
    </row>
    <row r="201" spans="1:4" s="73" customFormat="1" ht="32.25" customHeight="1">
      <c r="A201" s="312" t="s">
        <v>2327</v>
      </c>
      <c r="B201" s="116"/>
      <c r="C201" s="72" t="s">
        <v>390</v>
      </c>
      <c r="D201" s="72">
        <v>2</v>
      </c>
    </row>
    <row r="202" spans="1:4" s="73" customFormat="1" ht="17.25" customHeight="1">
      <c r="A202" s="182" t="s">
        <v>2343</v>
      </c>
      <c r="B202" s="72"/>
      <c r="C202" s="72" t="s">
        <v>358</v>
      </c>
      <c r="D202" s="72">
        <v>2</v>
      </c>
    </row>
    <row r="203" spans="1:4" s="73" customFormat="1" ht="29.25" customHeight="1">
      <c r="A203" s="401" t="s">
        <v>2344</v>
      </c>
      <c r="B203" s="402"/>
      <c r="C203" s="72" t="s">
        <v>2345</v>
      </c>
      <c r="D203" s="72">
        <v>2</v>
      </c>
    </row>
    <row r="204" spans="1:4" s="73" customFormat="1" ht="14.25" customHeight="1">
      <c r="A204" s="402" t="s">
        <v>2346</v>
      </c>
      <c r="B204" s="413"/>
      <c r="C204" s="105" t="s">
        <v>378</v>
      </c>
      <c r="D204" s="72">
        <v>2</v>
      </c>
    </row>
    <row r="205" spans="1:4" s="73" customFormat="1" ht="33.75" customHeight="1">
      <c r="A205" s="402" t="s">
        <v>2347</v>
      </c>
      <c r="B205" s="413"/>
      <c r="C205" s="72" t="s">
        <v>378</v>
      </c>
      <c r="D205" s="72">
        <v>4</v>
      </c>
    </row>
    <row r="206" spans="1:4" s="73" customFormat="1" ht="29.25" customHeight="1">
      <c r="A206" s="312" t="s">
        <v>1307</v>
      </c>
      <c r="B206" s="318"/>
      <c r="C206" s="105" t="s">
        <v>1308</v>
      </c>
      <c r="D206" s="72">
        <v>1.8</v>
      </c>
    </row>
    <row r="207" spans="1:4" s="73" customFormat="1" ht="29.25" customHeight="1">
      <c r="A207" s="312" t="s">
        <v>2348</v>
      </c>
      <c r="B207" s="318"/>
      <c r="C207" s="72" t="s">
        <v>279</v>
      </c>
      <c r="D207" s="72">
        <v>1</v>
      </c>
    </row>
    <row r="208" spans="1:4" s="73" customFormat="1" ht="15" customHeight="1">
      <c r="A208" s="105" t="s">
        <v>2349</v>
      </c>
      <c r="C208" s="267" t="s">
        <v>429</v>
      </c>
      <c r="D208" s="267">
        <v>2</v>
      </c>
    </row>
    <row r="209" spans="1:4" s="73" customFormat="1" ht="18" customHeight="1">
      <c r="A209" s="312" t="s">
        <v>1089</v>
      </c>
      <c r="B209" s="318"/>
      <c r="C209" s="72" t="s">
        <v>1090</v>
      </c>
      <c r="D209" s="72">
        <v>1.5</v>
      </c>
    </row>
    <row r="210" spans="1:4" s="73" customFormat="1" ht="29.25" customHeight="1">
      <c r="A210" s="312" t="s">
        <v>2350</v>
      </c>
      <c r="B210" s="116"/>
      <c r="C210" s="72" t="s">
        <v>553</v>
      </c>
      <c r="D210" s="72">
        <v>1</v>
      </c>
    </row>
    <row r="211" spans="1:4" s="73" customFormat="1" ht="15.75" customHeight="1">
      <c r="A211" s="312" t="s">
        <v>2351</v>
      </c>
      <c r="B211" s="116"/>
      <c r="C211" s="72" t="s">
        <v>516</v>
      </c>
      <c r="D211" s="72">
        <v>2</v>
      </c>
    </row>
    <row r="212" spans="1:4" s="73" customFormat="1" ht="30.75" customHeight="1">
      <c r="A212" s="312" t="s">
        <v>2352</v>
      </c>
      <c r="B212" s="116"/>
      <c r="C212" s="72" t="s">
        <v>917</v>
      </c>
      <c r="D212" s="72">
        <v>4</v>
      </c>
    </row>
    <row r="213" spans="1:4" s="73" customFormat="1" ht="33" customHeight="1">
      <c r="A213" s="321" t="s">
        <v>2353</v>
      </c>
      <c r="B213" s="322"/>
      <c r="C213" s="105" t="s">
        <v>917</v>
      </c>
      <c r="D213" s="72">
        <v>2</v>
      </c>
    </row>
    <row r="214" spans="1:4" s="73" customFormat="1" ht="15" customHeight="1">
      <c r="A214" s="202" t="s">
        <v>1091</v>
      </c>
      <c r="B214" s="254"/>
      <c r="C214" s="105" t="s">
        <v>1092</v>
      </c>
      <c r="D214" s="72">
        <v>1.5</v>
      </c>
    </row>
    <row r="215" spans="1:4" s="73" customFormat="1" ht="15">
      <c r="A215" s="105" t="s">
        <v>1849</v>
      </c>
      <c r="B215" s="72"/>
      <c r="C215" s="72" t="s">
        <v>613</v>
      </c>
      <c r="D215" s="72">
        <v>2</v>
      </c>
    </row>
    <row r="216" spans="1:4" s="73" customFormat="1" ht="15">
      <c r="A216" s="313" t="s">
        <v>2354</v>
      </c>
      <c r="B216" s="116"/>
      <c r="C216" s="72" t="s">
        <v>724</v>
      </c>
      <c r="D216" s="72">
        <v>2</v>
      </c>
    </row>
    <row r="217" spans="1:4" s="73" customFormat="1" ht="28.5">
      <c r="A217" s="313" t="s">
        <v>2355</v>
      </c>
      <c r="B217" s="116"/>
      <c r="C217" s="72" t="s">
        <v>516</v>
      </c>
      <c r="D217" s="72">
        <v>3</v>
      </c>
    </row>
    <row r="218" spans="1:4" s="73" customFormat="1" ht="15">
      <c r="A218" s="402" t="s">
        <v>1093</v>
      </c>
      <c r="B218" s="413"/>
      <c r="C218" s="72" t="s">
        <v>1094</v>
      </c>
      <c r="D218" s="72">
        <v>1.1</v>
      </c>
    </row>
    <row r="219" spans="1:4" s="73" customFormat="1" ht="32.25" customHeight="1">
      <c r="A219" s="312" t="s">
        <v>2356</v>
      </c>
      <c r="B219" s="116"/>
      <c r="C219" s="72" t="s">
        <v>400</v>
      </c>
      <c r="D219" s="72">
        <v>1</v>
      </c>
    </row>
    <row r="220" spans="1:4" s="73" customFormat="1" ht="32.25" customHeight="1">
      <c r="A220" s="312" t="s">
        <v>2357</v>
      </c>
      <c r="B220" s="116"/>
      <c r="C220" s="72" t="s">
        <v>279</v>
      </c>
      <c r="D220" s="72">
        <v>1</v>
      </c>
    </row>
    <row r="221" spans="1:4" s="73" customFormat="1" ht="18.75" customHeight="1">
      <c r="A221" s="312" t="s">
        <v>2358</v>
      </c>
      <c r="B221" s="116"/>
      <c r="C221" s="72" t="s">
        <v>577</v>
      </c>
      <c r="D221" s="72">
        <v>2</v>
      </c>
    </row>
    <row r="222" spans="1:4" s="73" customFormat="1" ht="21" customHeight="1">
      <c r="A222" s="312" t="s">
        <v>2359</v>
      </c>
      <c r="B222" s="116"/>
      <c r="C222" s="72" t="s">
        <v>737</v>
      </c>
      <c r="D222" s="72">
        <v>4</v>
      </c>
    </row>
    <row r="223" spans="1:4" s="73" customFormat="1" ht="15" customHeight="1">
      <c r="A223" s="312" t="s">
        <v>2360</v>
      </c>
      <c r="B223" s="116"/>
      <c r="C223" s="72" t="s">
        <v>468</v>
      </c>
      <c r="D223" s="72">
        <v>2</v>
      </c>
    </row>
    <row r="224" spans="1:4" s="73" customFormat="1" ht="15.75" customHeight="1">
      <c r="A224" s="312" t="s">
        <v>2361</v>
      </c>
      <c r="B224" s="116"/>
      <c r="C224" s="72" t="s">
        <v>378</v>
      </c>
      <c r="D224" s="72">
        <v>4</v>
      </c>
    </row>
    <row r="225" spans="1:4" s="73" customFormat="1" ht="15.75" customHeight="1">
      <c r="A225" s="312" t="s">
        <v>2362</v>
      </c>
      <c r="B225" s="116"/>
      <c r="C225" s="72" t="s">
        <v>2363</v>
      </c>
      <c r="D225" s="72">
        <v>3</v>
      </c>
    </row>
    <row r="226" spans="1:4" s="73" customFormat="1" ht="31.5" customHeight="1">
      <c r="A226" s="312" t="s">
        <v>2364</v>
      </c>
      <c r="B226" s="116"/>
      <c r="C226" s="72" t="s">
        <v>279</v>
      </c>
      <c r="D226" s="72">
        <v>1</v>
      </c>
    </row>
    <row r="227" spans="1:4" ht="15">
      <c r="A227" s="181" t="s">
        <v>2103</v>
      </c>
      <c r="C227" s="181" t="s">
        <v>1192</v>
      </c>
      <c r="D227" s="181">
        <v>3</v>
      </c>
    </row>
    <row r="228" spans="1:4" s="73" customFormat="1" ht="32.25" customHeight="1">
      <c r="A228" s="312" t="s">
        <v>2365</v>
      </c>
      <c r="B228" s="116"/>
      <c r="C228" s="72" t="s">
        <v>2366</v>
      </c>
      <c r="D228" s="72">
        <v>3</v>
      </c>
    </row>
    <row r="229" spans="1:4" s="73" customFormat="1" ht="32.25" customHeight="1">
      <c r="A229" s="313" t="s">
        <v>2367</v>
      </c>
      <c r="B229" s="116"/>
      <c r="C229" s="72" t="s">
        <v>2368</v>
      </c>
      <c r="D229" s="72">
        <v>2</v>
      </c>
    </row>
    <row r="230" spans="1:4" s="73" customFormat="1" ht="32.25" customHeight="1">
      <c r="A230" s="313" t="s">
        <v>2369</v>
      </c>
      <c r="B230" s="116"/>
      <c r="C230" s="72" t="s">
        <v>400</v>
      </c>
      <c r="D230" s="72">
        <v>2</v>
      </c>
    </row>
    <row r="231" spans="1:4" s="73" customFormat="1" ht="32.25" customHeight="1">
      <c r="A231" s="313" t="s">
        <v>2370</v>
      </c>
      <c r="B231" s="116"/>
      <c r="C231" s="72" t="s">
        <v>2371</v>
      </c>
      <c r="D231" s="72">
        <v>3</v>
      </c>
    </row>
    <row r="232" spans="1:4" ht="15">
      <c r="A232" s="109" t="s">
        <v>610</v>
      </c>
      <c r="B232" s="136"/>
      <c r="C232" s="153" t="s">
        <v>613</v>
      </c>
      <c r="D232" s="153">
        <v>3.5</v>
      </c>
    </row>
    <row r="233" spans="1:4" s="73" customFormat="1" ht="15.75" customHeight="1">
      <c r="A233" s="152"/>
      <c r="B233" s="151"/>
      <c r="C233" s="109" t="s">
        <v>279</v>
      </c>
      <c r="D233" s="109">
        <v>1.5</v>
      </c>
    </row>
    <row r="234" spans="1:4" s="73" customFormat="1" ht="15.75" customHeight="1">
      <c r="A234" s="152" t="s">
        <v>550</v>
      </c>
      <c r="B234" s="151"/>
      <c r="C234" s="109" t="s">
        <v>553</v>
      </c>
      <c r="D234" s="109">
        <f>8+8</f>
        <v>16</v>
      </c>
    </row>
    <row r="235" spans="1:4" s="73" customFormat="1" ht="15.75" customHeight="1" thickBot="1">
      <c r="A235" s="152"/>
      <c r="B235" s="151"/>
      <c r="C235" s="109"/>
      <c r="D235" s="109"/>
    </row>
    <row r="236" spans="1:4" ht="15.75" thickBot="1">
      <c r="A236" s="491" t="s">
        <v>99</v>
      </c>
      <c r="B236" s="490"/>
      <c r="C236" s="109"/>
      <c r="D236" s="109"/>
    </row>
    <row r="237" spans="1:4" ht="30.75" customHeight="1" thickBot="1">
      <c r="A237" s="492" t="s">
        <v>307</v>
      </c>
      <c r="B237" s="493"/>
      <c r="C237" s="154" t="s">
        <v>424</v>
      </c>
      <c r="D237" s="155" t="s">
        <v>423</v>
      </c>
    </row>
    <row r="238" spans="1:4" ht="15.75" thickBot="1">
      <c r="A238" s="485" t="s">
        <v>101</v>
      </c>
      <c r="B238" s="490"/>
      <c r="C238" s="109"/>
      <c r="D238" s="109"/>
    </row>
    <row r="239" spans="1:4" ht="31.5" customHeight="1" thickBot="1">
      <c r="A239" s="494" t="s">
        <v>102</v>
      </c>
      <c r="B239" s="478"/>
      <c r="C239" s="109" t="s">
        <v>243</v>
      </c>
      <c r="D239" s="109"/>
    </row>
    <row r="240" spans="1:4" ht="15">
      <c r="A240" s="327" t="s">
        <v>2150</v>
      </c>
      <c r="B240" s="325"/>
      <c r="C240" s="72" t="s">
        <v>243</v>
      </c>
      <c r="D240" s="72">
        <f>0.3*130</f>
        <v>39</v>
      </c>
    </row>
    <row r="241" spans="1:4" ht="15">
      <c r="A241" s="327" t="s">
        <v>2151</v>
      </c>
      <c r="B241" s="325"/>
      <c r="C241" s="72" t="s">
        <v>243</v>
      </c>
      <c r="D241" s="72">
        <f>0.4*130</f>
        <v>52</v>
      </c>
    </row>
    <row r="242" spans="1:4" ht="15">
      <c r="A242" s="327" t="s">
        <v>2152</v>
      </c>
      <c r="B242" s="325"/>
      <c r="C242" s="72" t="s">
        <v>243</v>
      </c>
      <c r="D242" s="72">
        <f>2*130</f>
        <v>260</v>
      </c>
    </row>
    <row r="243" spans="1:4" ht="15">
      <c r="A243" s="327" t="s">
        <v>2153</v>
      </c>
      <c r="B243" s="325"/>
      <c r="C243" s="72" t="s">
        <v>243</v>
      </c>
      <c r="D243" s="72">
        <f>0.3*130</f>
        <v>39</v>
      </c>
    </row>
    <row r="244" spans="1:4" ht="15">
      <c r="A244" s="327" t="s">
        <v>2154</v>
      </c>
      <c r="B244" s="325"/>
      <c r="C244" s="72" t="s">
        <v>243</v>
      </c>
      <c r="D244" s="72">
        <f>2*130</f>
        <v>260</v>
      </c>
    </row>
    <row r="245" spans="1:4" ht="15">
      <c r="A245" s="327" t="s">
        <v>2155</v>
      </c>
      <c r="B245" s="325"/>
      <c r="C245" s="72" t="s">
        <v>243</v>
      </c>
      <c r="D245" s="72">
        <f>0.2*130</f>
        <v>26</v>
      </c>
    </row>
    <row r="246" spans="1:4" ht="15.75" thickBot="1">
      <c r="A246" s="327" t="s">
        <v>803</v>
      </c>
      <c r="B246" s="325"/>
      <c r="C246" s="72"/>
      <c r="D246" s="72">
        <f>144+16</f>
        <v>160</v>
      </c>
    </row>
    <row r="247" spans="1:4" ht="15">
      <c r="A247" s="525" t="s">
        <v>2159</v>
      </c>
      <c r="B247" s="526"/>
      <c r="C247" s="72"/>
      <c r="D247" s="72">
        <f>597.19+130*6</f>
        <v>1377.19</v>
      </c>
    </row>
    <row r="248" spans="1:4" ht="28.5">
      <c r="A248" s="327" t="s">
        <v>2158</v>
      </c>
      <c r="B248" s="325"/>
      <c r="C248" s="72" t="s">
        <v>243</v>
      </c>
      <c r="D248" s="72">
        <v>130</v>
      </c>
    </row>
    <row r="249" spans="1:5" ht="28.5">
      <c r="A249" s="327" t="s">
        <v>2204</v>
      </c>
      <c r="B249" s="91"/>
      <c r="C249" s="72" t="s">
        <v>243</v>
      </c>
      <c r="D249" s="72">
        <v>130</v>
      </c>
      <c r="E249">
        <v>1</v>
      </c>
    </row>
    <row r="250" spans="1:5" ht="28.5">
      <c r="A250" s="327" t="s">
        <v>2205</v>
      </c>
      <c r="B250" s="91"/>
      <c r="C250" s="72" t="s">
        <v>243</v>
      </c>
      <c r="D250" s="72">
        <f>130*4</f>
        <v>520</v>
      </c>
      <c r="E250">
        <v>4</v>
      </c>
    </row>
    <row r="251" spans="1:5" ht="15">
      <c r="A251" s="327" t="s">
        <v>2206</v>
      </c>
      <c r="B251" s="91"/>
      <c r="C251" s="72" t="s">
        <v>243</v>
      </c>
      <c r="D251" s="72">
        <v>65</v>
      </c>
      <c r="E251">
        <v>0.5</v>
      </c>
    </row>
    <row r="252" spans="1:5" ht="15">
      <c r="A252" s="327" t="s">
        <v>2207</v>
      </c>
      <c r="B252" s="91"/>
      <c r="C252" s="72" t="s">
        <v>2208</v>
      </c>
      <c r="D252" s="72">
        <f>130*8*2</f>
        <v>2080</v>
      </c>
      <c r="E252">
        <v>16</v>
      </c>
    </row>
    <row r="253" spans="1:5" ht="28.5">
      <c r="A253" s="327" t="s">
        <v>2209</v>
      </c>
      <c r="B253" s="91"/>
      <c r="C253" s="72" t="s">
        <v>243</v>
      </c>
      <c r="D253" s="72">
        <f>2*130</f>
        <v>260</v>
      </c>
      <c r="E253">
        <v>2</v>
      </c>
    </row>
    <row r="254" spans="1:5" ht="15">
      <c r="A254" s="327" t="s">
        <v>2210</v>
      </c>
      <c r="B254" s="91"/>
      <c r="C254" s="72" t="s">
        <v>243</v>
      </c>
      <c r="D254" s="72">
        <f>5*130</f>
        <v>650</v>
      </c>
      <c r="E254">
        <v>5</v>
      </c>
    </row>
    <row r="255" spans="1:5" ht="15">
      <c r="A255" s="327" t="s">
        <v>2211</v>
      </c>
      <c r="B255" s="91"/>
      <c r="C255" s="72" t="s">
        <v>243</v>
      </c>
      <c r="D255" s="72">
        <f>1.5*130</f>
        <v>195</v>
      </c>
      <c r="E255">
        <v>1.5</v>
      </c>
    </row>
    <row r="256" spans="1:5" ht="15">
      <c r="A256" s="327" t="s">
        <v>2212</v>
      </c>
      <c r="B256" s="91"/>
      <c r="C256" s="72" t="s">
        <v>243</v>
      </c>
      <c r="D256" s="72">
        <f>4*130</f>
        <v>520</v>
      </c>
      <c r="E256">
        <v>4</v>
      </c>
    </row>
    <row r="257" spans="1:5" ht="15">
      <c r="A257" s="327" t="s">
        <v>2213</v>
      </c>
      <c r="B257" s="91"/>
      <c r="C257" s="72" t="s">
        <v>243</v>
      </c>
      <c r="D257" s="72">
        <v>130</v>
      </c>
      <c r="E257">
        <v>1</v>
      </c>
    </row>
    <row r="258" spans="1:5" ht="15">
      <c r="A258" s="327" t="s">
        <v>2214</v>
      </c>
      <c r="B258" s="91"/>
      <c r="C258" s="72" t="s">
        <v>243</v>
      </c>
      <c r="D258" s="72">
        <v>130</v>
      </c>
      <c r="E258">
        <v>1</v>
      </c>
    </row>
    <row r="259" spans="1:5" ht="15">
      <c r="A259" s="327" t="s">
        <v>2215</v>
      </c>
      <c r="B259" s="91"/>
      <c r="C259" s="72" t="s">
        <v>243</v>
      </c>
      <c r="D259" s="72">
        <f>3*130</f>
        <v>390</v>
      </c>
      <c r="E259">
        <v>3</v>
      </c>
    </row>
    <row r="260" spans="1:5" ht="15">
      <c r="A260" s="327" t="s">
        <v>2216</v>
      </c>
      <c r="B260" s="91"/>
      <c r="C260" s="72" t="s">
        <v>243</v>
      </c>
      <c r="D260" s="72">
        <v>65</v>
      </c>
      <c r="E260">
        <v>0.5</v>
      </c>
    </row>
    <row r="261" spans="1:5" ht="15">
      <c r="A261" s="327" t="s">
        <v>2217</v>
      </c>
      <c r="B261" s="91"/>
      <c r="C261" s="72" t="s">
        <v>243</v>
      </c>
      <c r="D261" s="72">
        <v>130</v>
      </c>
      <c r="E261">
        <v>1</v>
      </c>
    </row>
    <row r="262" spans="1:5" ht="15">
      <c r="A262" s="327" t="s">
        <v>2218</v>
      </c>
      <c r="B262" s="91"/>
      <c r="C262" s="72" t="s">
        <v>243</v>
      </c>
      <c r="D262" s="72">
        <f>3*130</f>
        <v>390</v>
      </c>
      <c r="E262">
        <v>3</v>
      </c>
    </row>
    <row r="263" spans="1:5" ht="28.5">
      <c r="A263" s="327" t="s">
        <v>2219</v>
      </c>
      <c r="B263" s="91"/>
      <c r="C263" s="72" t="s">
        <v>243</v>
      </c>
      <c r="D263" s="72">
        <f>130*3</f>
        <v>390</v>
      </c>
      <c r="E263">
        <v>3</v>
      </c>
    </row>
    <row r="264" spans="1:5" ht="15">
      <c r="A264" s="327" t="s">
        <v>2220</v>
      </c>
      <c r="B264" s="91"/>
      <c r="C264" s="72" t="s">
        <v>243</v>
      </c>
      <c r="D264" s="72">
        <v>130</v>
      </c>
      <c r="E264">
        <v>1</v>
      </c>
    </row>
    <row r="265" spans="1:5" ht="15">
      <c r="A265" s="327" t="s">
        <v>2221</v>
      </c>
      <c r="B265" s="325"/>
      <c r="C265" s="72" t="s">
        <v>243</v>
      </c>
      <c r="D265" s="72">
        <v>65</v>
      </c>
      <c r="E265">
        <v>0.5</v>
      </c>
    </row>
    <row r="266" spans="1:5" ht="15">
      <c r="A266" s="327" t="s">
        <v>2222</v>
      </c>
      <c r="B266" s="325"/>
      <c r="C266" s="72" t="s">
        <v>243</v>
      </c>
      <c r="D266" s="72">
        <v>130</v>
      </c>
      <c r="E266">
        <v>1</v>
      </c>
    </row>
    <row r="267" spans="1:5" ht="15">
      <c r="A267" s="327" t="s">
        <v>2223</v>
      </c>
      <c r="B267" s="325"/>
      <c r="C267" s="72" t="s">
        <v>243</v>
      </c>
      <c r="D267" s="72">
        <v>130</v>
      </c>
      <c r="E267">
        <v>1</v>
      </c>
    </row>
    <row r="268" spans="1:5" ht="15">
      <c r="A268" s="327" t="s">
        <v>2229</v>
      </c>
      <c r="B268" s="135"/>
      <c r="C268" s="199"/>
      <c r="D268" s="199">
        <v>2</v>
      </c>
      <c r="E268">
        <v>2</v>
      </c>
    </row>
    <row r="269" spans="1:5" ht="15">
      <c r="A269" s="327" t="s">
        <v>2230</v>
      </c>
      <c r="B269" s="135"/>
      <c r="C269" s="199"/>
      <c r="D269" s="199">
        <v>4</v>
      </c>
      <c r="E269">
        <v>4</v>
      </c>
    </row>
    <row r="270" spans="1:5" ht="15">
      <c r="A270" s="327" t="s">
        <v>2231</v>
      </c>
      <c r="B270" s="135"/>
      <c r="C270" s="199"/>
      <c r="D270" s="199">
        <f>6+4</f>
        <v>10</v>
      </c>
      <c r="E270">
        <v>10</v>
      </c>
    </row>
    <row r="271" spans="1:5" ht="15">
      <c r="A271" s="327" t="s">
        <v>2232</v>
      </c>
      <c r="B271" s="135"/>
      <c r="C271" s="199"/>
      <c r="D271" s="199">
        <v>0.3</v>
      </c>
      <c r="E271">
        <v>0.3</v>
      </c>
    </row>
    <row r="272" spans="1:5" ht="15">
      <c r="A272" s="327" t="s">
        <v>2233</v>
      </c>
      <c r="B272" s="135"/>
      <c r="C272" s="199"/>
      <c r="D272" s="199">
        <v>1</v>
      </c>
      <c r="E272">
        <v>1</v>
      </c>
    </row>
    <row r="273" spans="1:5" ht="15">
      <c r="A273" s="327" t="s">
        <v>2234</v>
      </c>
      <c r="B273" s="135"/>
      <c r="C273" s="199"/>
      <c r="D273" s="199">
        <v>0.4</v>
      </c>
      <c r="E273">
        <v>0.4</v>
      </c>
    </row>
    <row r="274" spans="1:5" ht="15">
      <c r="A274" s="327" t="s">
        <v>2235</v>
      </c>
      <c r="B274" s="135"/>
      <c r="C274" s="199"/>
      <c r="D274" s="199">
        <v>3</v>
      </c>
      <c r="E274">
        <v>3</v>
      </c>
    </row>
    <row r="275" spans="1:5" ht="15">
      <c r="A275" s="327" t="s">
        <v>2236</v>
      </c>
      <c r="B275" s="135"/>
      <c r="C275" s="199"/>
      <c r="D275" s="199">
        <v>6</v>
      </c>
      <c r="E275">
        <v>6</v>
      </c>
    </row>
    <row r="276" spans="1:4" ht="15">
      <c r="A276" s="327" t="s">
        <v>2243</v>
      </c>
      <c r="B276" s="91"/>
      <c r="C276" s="72" t="s">
        <v>243</v>
      </c>
      <c r="D276" s="72">
        <v>1</v>
      </c>
    </row>
    <row r="277" spans="1:4" s="73" customFormat="1" ht="15">
      <c r="A277" s="327" t="s">
        <v>2244</v>
      </c>
      <c r="B277" s="91"/>
      <c r="C277" s="72" t="s">
        <v>243</v>
      </c>
      <c r="D277" s="72">
        <v>3</v>
      </c>
    </row>
    <row r="278" spans="1:4" s="73" customFormat="1" ht="15">
      <c r="A278" s="327" t="s">
        <v>2245</v>
      </c>
      <c r="B278" s="91"/>
      <c r="C278" s="72" t="s">
        <v>243</v>
      </c>
      <c r="D278" s="72">
        <v>1</v>
      </c>
    </row>
    <row r="279" spans="1:4" ht="15">
      <c r="A279" s="327" t="s">
        <v>2246</v>
      </c>
      <c r="B279" s="91"/>
      <c r="C279" s="72" t="s">
        <v>243</v>
      </c>
      <c r="D279" s="72">
        <v>1</v>
      </c>
    </row>
    <row r="280" spans="1:4" s="73" customFormat="1" ht="15">
      <c r="A280" s="327" t="s">
        <v>2247</v>
      </c>
      <c r="B280" s="91"/>
      <c r="C280" s="72" t="s">
        <v>243</v>
      </c>
      <c r="D280" s="72">
        <v>1</v>
      </c>
    </row>
    <row r="281" spans="1:4" s="73" customFormat="1" ht="15">
      <c r="A281" s="327" t="s">
        <v>2256</v>
      </c>
      <c r="B281" s="91"/>
      <c r="C281" s="72" t="s">
        <v>243</v>
      </c>
      <c r="D281" s="72">
        <v>1</v>
      </c>
    </row>
    <row r="282" spans="1:4" s="73" customFormat="1" ht="15">
      <c r="A282" s="327" t="s">
        <v>2257</v>
      </c>
      <c r="B282" s="91"/>
      <c r="C282" s="72" t="s">
        <v>243</v>
      </c>
      <c r="D282" s="72">
        <v>1</v>
      </c>
    </row>
    <row r="283" spans="1:4" s="73" customFormat="1" ht="15">
      <c r="A283" s="327" t="s">
        <v>2258</v>
      </c>
      <c r="B283" s="91"/>
      <c r="C283" s="72" t="s">
        <v>243</v>
      </c>
      <c r="D283" s="72">
        <v>1</v>
      </c>
    </row>
    <row r="284" spans="1:4" s="73" customFormat="1" ht="15">
      <c r="A284" s="327" t="s">
        <v>2259</v>
      </c>
      <c r="B284" s="91"/>
      <c r="C284" s="72" t="s">
        <v>243</v>
      </c>
      <c r="D284" s="72">
        <v>1.5</v>
      </c>
    </row>
    <row r="285" spans="1:4" s="73" customFormat="1" ht="15">
      <c r="A285" s="327" t="s">
        <v>444</v>
      </c>
      <c r="B285" s="91"/>
      <c r="C285" s="72" t="s">
        <v>243</v>
      </c>
      <c r="D285" s="72">
        <v>2.5</v>
      </c>
    </row>
    <row r="286" spans="1:4" s="73" customFormat="1" ht="15">
      <c r="A286" s="327" t="s">
        <v>458</v>
      </c>
      <c r="B286" s="91"/>
      <c r="C286" s="72" t="s">
        <v>243</v>
      </c>
      <c r="D286" s="72">
        <v>1.5</v>
      </c>
    </row>
    <row r="287" spans="1:4" s="73" customFormat="1" ht="15">
      <c r="A287" s="327" t="s">
        <v>519</v>
      </c>
      <c r="B287" s="91"/>
      <c r="C287" s="72" t="s">
        <v>243</v>
      </c>
      <c r="D287" s="72">
        <v>2.5</v>
      </c>
    </row>
    <row r="288" spans="1:4" s="73" customFormat="1" ht="15">
      <c r="A288" s="327" t="s">
        <v>520</v>
      </c>
      <c r="B288" s="91"/>
      <c r="C288" s="72" t="s">
        <v>243</v>
      </c>
      <c r="D288" s="72">
        <v>1.5</v>
      </c>
    </row>
    <row r="289" spans="1:4" s="73" customFormat="1" ht="28.5">
      <c r="A289" s="327" t="s">
        <v>521</v>
      </c>
      <c r="B289" s="91"/>
      <c r="C289" s="72" t="s">
        <v>243</v>
      </c>
      <c r="D289" s="72">
        <v>2</v>
      </c>
    </row>
    <row r="290" spans="1:4" s="73" customFormat="1" ht="15">
      <c r="A290" s="327" t="s">
        <v>522</v>
      </c>
      <c r="B290" s="91"/>
      <c r="C290" s="72" t="s">
        <v>243</v>
      </c>
      <c r="D290" s="72">
        <v>2</v>
      </c>
    </row>
    <row r="291" spans="1:4" s="73" customFormat="1" ht="16.5" customHeight="1">
      <c r="A291" s="327" t="s">
        <v>551</v>
      </c>
      <c r="B291" s="91"/>
      <c r="C291" s="72" t="s">
        <v>243</v>
      </c>
      <c r="D291" s="72">
        <v>8</v>
      </c>
    </row>
    <row r="292" spans="1:4" s="73" customFormat="1" ht="15">
      <c r="A292" s="327" t="s">
        <v>552</v>
      </c>
      <c r="B292" s="91"/>
      <c r="C292" s="72" t="s">
        <v>243</v>
      </c>
      <c r="D292" s="72">
        <v>1.5</v>
      </c>
    </row>
    <row r="293" spans="1:4" s="73" customFormat="1" ht="15">
      <c r="A293" s="327" t="s">
        <v>2265</v>
      </c>
      <c r="B293" s="91"/>
      <c r="C293" s="72" t="s">
        <v>243</v>
      </c>
      <c r="D293" s="72">
        <v>1</v>
      </c>
    </row>
    <row r="294" spans="1:4" s="73" customFormat="1" ht="28.5">
      <c r="A294" s="327" t="s">
        <v>2266</v>
      </c>
      <c r="B294" s="91"/>
      <c r="C294" s="72" t="s">
        <v>243</v>
      </c>
      <c r="D294" s="72">
        <v>3.5</v>
      </c>
    </row>
    <row r="295" spans="1:4" s="73" customFormat="1" ht="15">
      <c r="A295" s="327" t="s">
        <v>2267</v>
      </c>
      <c r="B295" s="91"/>
      <c r="C295" s="72" t="s">
        <v>243</v>
      </c>
      <c r="D295" s="72">
        <v>1</v>
      </c>
    </row>
    <row r="296" spans="1:4" s="73" customFormat="1" ht="15">
      <c r="A296" s="327" t="s">
        <v>2268</v>
      </c>
      <c r="B296" s="91"/>
      <c r="C296" s="72" t="s">
        <v>243</v>
      </c>
      <c r="D296" s="72">
        <v>0.5</v>
      </c>
    </row>
    <row r="297" spans="1:4" s="73" customFormat="1" ht="17.25" customHeight="1">
      <c r="A297" s="401" t="s">
        <v>706</v>
      </c>
      <c r="B297" s="402"/>
      <c r="C297" s="72" t="s">
        <v>243</v>
      </c>
      <c r="D297" s="72">
        <v>3</v>
      </c>
    </row>
    <row r="298" spans="1:4" s="73" customFormat="1" ht="15">
      <c r="A298" s="90" t="s">
        <v>707</v>
      </c>
      <c r="B298" s="91"/>
      <c r="C298" s="72" t="s">
        <v>243</v>
      </c>
      <c r="D298" s="72">
        <v>1</v>
      </c>
    </row>
    <row r="299" spans="1:4" s="73" customFormat="1" ht="15">
      <c r="A299" s="90" t="s">
        <v>751</v>
      </c>
      <c r="B299" s="91"/>
      <c r="C299" s="72" t="s">
        <v>243</v>
      </c>
      <c r="D299" s="72">
        <v>1.5</v>
      </c>
    </row>
    <row r="300" spans="1:4" s="73" customFormat="1" ht="15">
      <c r="A300" s="90" t="s">
        <v>762</v>
      </c>
      <c r="B300" s="91"/>
      <c r="C300" s="72" t="s">
        <v>243</v>
      </c>
      <c r="D300" s="72">
        <v>2</v>
      </c>
    </row>
    <row r="301" spans="1:4" s="73" customFormat="1" ht="17.25" customHeight="1">
      <c r="A301" s="401" t="s">
        <v>2276</v>
      </c>
      <c r="B301" s="402"/>
      <c r="C301" s="72" t="s">
        <v>243</v>
      </c>
      <c r="D301" s="72">
        <v>1</v>
      </c>
    </row>
    <row r="302" spans="1:4" s="73" customFormat="1" ht="15">
      <c r="A302" s="327" t="s">
        <v>2277</v>
      </c>
      <c r="B302" s="91"/>
      <c r="C302" s="72" t="s">
        <v>243</v>
      </c>
      <c r="D302" s="72">
        <v>1</v>
      </c>
    </row>
    <row r="303" spans="1:4" s="73" customFormat="1" ht="15">
      <c r="A303" s="327" t="s">
        <v>2278</v>
      </c>
      <c r="B303" s="91"/>
      <c r="C303" s="72" t="s">
        <v>243</v>
      </c>
      <c r="D303" s="72">
        <v>3</v>
      </c>
    </row>
    <row r="304" spans="1:4" s="73" customFormat="1" ht="15">
      <c r="A304" s="327" t="s">
        <v>2279</v>
      </c>
      <c r="B304" s="91"/>
      <c r="C304" s="72" t="s">
        <v>243</v>
      </c>
      <c r="D304" s="72">
        <v>1</v>
      </c>
    </row>
    <row r="305" spans="1:4" s="73" customFormat="1" ht="15">
      <c r="A305" s="327" t="s">
        <v>2280</v>
      </c>
      <c r="B305" s="91"/>
      <c r="C305" s="72" t="s">
        <v>243</v>
      </c>
      <c r="D305" s="72">
        <v>1</v>
      </c>
    </row>
    <row r="306" spans="1:4" s="73" customFormat="1" ht="28.5">
      <c r="A306" s="327" t="s">
        <v>2281</v>
      </c>
      <c r="B306" s="91"/>
      <c r="C306" s="72" t="s">
        <v>243</v>
      </c>
      <c r="D306" s="72">
        <v>5</v>
      </c>
    </row>
    <row r="307" spans="1:4" s="73" customFormat="1" ht="15">
      <c r="A307" s="327" t="s">
        <v>2282</v>
      </c>
      <c r="B307" s="91"/>
      <c r="C307" s="72" t="s">
        <v>243</v>
      </c>
      <c r="D307" s="72">
        <v>1</v>
      </c>
    </row>
    <row r="308" spans="1:4" s="73" customFormat="1" ht="15">
      <c r="A308" s="327" t="s">
        <v>2283</v>
      </c>
      <c r="B308" s="91"/>
      <c r="C308" s="72" t="s">
        <v>243</v>
      </c>
      <c r="D308" s="72">
        <v>2</v>
      </c>
    </row>
    <row r="309" spans="1:4" s="73" customFormat="1" ht="15">
      <c r="A309" s="327" t="s">
        <v>2284</v>
      </c>
      <c r="B309" s="91"/>
      <c r="C309" s="72" t="s">
        <v>243</v>
      </c>
      <c r="D309" s="72">
        <v>1.5</v>
      </c>
    </row>
    <row r="310" spans="1:4" s="73" customFormat="1" ht="17.25" customHeight="1">
      <c r="A310" s="401" t="s">
        <v>2292</v>
      </c>
      <c r="B310" s="402"/>
      <c r="C310" s="72" t="s">
        <v>243</v>
      </c>
      <c r="D310" s="72">
        <v>1.5</v>
      </c>
    </row>
    <row r="311" spans="1:4" s="73" customFormat="1" ht="15">
      <c r="A311" s="327" t="s">
        <v>2293</v>
      </c>
      <c r="B311" s="91"/>
      <c r="C311" s="72" t="s">
        <v>243</v>
      </c>
      <c r="D311" s="72">
        <v>3</v>
      </c>
    </row>
    <row r="312" spans="1:4" s="73" customFormat="1" ht="15">
      <c r="A312" s="327" t="s">
        <v>2294</v>
      </c>
      <c r="B312" s="91"/>
      <c r="C312" s="72" t="s">
        <v>243</v>
      </c>
      <c r="D312" s="72">
        <v>1</v>
      </c>
    </row>
    <row r="313" spans="1:4" s="73" customFormat="1" ht="15">
      <c r="A313" s="327" t="s">
        <v>2295</v>
      </c>
      <c r="B313" s="91"/>
      <c r="C313" s="72" t="s">
        <v>2296</v>
      </c>
      <c r="D313" s="72">
        <v>16</v>
      </c>
    </row>
    <row r="314" spans="1:4" s="73" customFormat="1" ht="15">
      <c r="A314" s="327" t="s">
        <v>2297</v>
      </c>
      <c r="B314" s="91"/>
      <c r="C314" s="72" t="s">
        <v>2296</v>
      </c>
      <c r="D314" s="72">
        <v>2</v>
      </c>
    </row>
    <row r="315" spans="1:4" s="73" customFormat="1" ht="15">
      <c r="A315" s="327" t="s">
        <v>2298</v>
      </c>
      <c r="B315" s="91"/>
      <c r="C315" s="72" t="s">
        <v>243</v>
      </c>
      <c r="D315" s="72">
        <v>4</v>
      </c>
    </row>
    <row r="316" spans="1:4" s="73" customFormat="1" ht="15">
      <c r="A316" s="327" t="s">
        <v>2299</v>
      </c>
      <c r="B316" s="91"/>
      <c r="C316" s="72" t="s">
        <v>243</v>
      </c>
      <c r="D316" s="72">
        <v>2</v>
      </c>
    </row>
    <row r="317" spans="1:4" s="73" customFormat="1" ht="15">
      <c r="A317" s="327" t="s">
        <v>2300</v>
      </c>
      <c r="B317" s="91"/>
      <c r="C317" s="72" t="s">
        <v>243</v>
      </c>
      <c r="D317" s="72">
        <v>1</v>
      </c>
    </row>
    <row r="318" spans="1:4" s="73" customFormat="1" ht="15">
      <c r="A318" s="327" t="s">
        <v>2301</v>
      </c>
      <c r="B318" s="91"/>
      <c r="C318" s="72" t="s">
        <v>243</v>
      </c>
      <c r="D318" s="72">
        <v>2</v>
      </c>
    </row>
    <row r="319" spans="1:4" s="73" customFormat="1" ht="15">
      <c r="A319" s="327" t="s">
        <v>2302</v>
      </c>
      <c r="B319" s="91"/>
      <c r="C319" s="72" t="s">
        <v>243</v>
      </c>
      <c r="D319" s="72">
        <v>1</v>
      </c>
    </row>
    <row r="320" spans="1:4" s="73" customFormat="1" ht="16.5" customHeight="1">
      <c r="A320" s="327" t="s">
        <v>2303</v>
      </c>
      <c r="B320" s="91"/>
      <c r="C320" s="72" t="s">
        <v>243</v>
      </c>
      <c r="D320" s="72">
        <v>2</v>
      </c>
    </row>
    <row r="321" spans="1:4" s="73" customFormat="1" ht="33" customHeight="1">
      <c r="A321" s="401" t="s">
        <v>2328</v>
      </c>
      <c r="B321" s="402"/>
      <c r="C321" s="72" t="s">
        <v>243</v>
      </c>
      <c r="D321" s="72">
        <v>2</v>
      </c>
    </row>
    <row r="322" spans="1:4" s="73" customFormat="1" ht="15">
      <c r="A322" s="327" t="s">
        <v>2329</v>
      </c>
      <c r="B322" s="91"/>
      <c r="C322" s="72" t="s">
        <v>243</v>
      </c>
      <c r="D322" s="72">
        <v>0.5</v>
      </c>
    </row>
    <row r="323" spans="1:4" s="94" customFormat="1" ht="15">
      <c r="A323" s="337" t="s">
        <v>2330</v>
      </c>
      <c r="B323" s="338"/>
      <c r="C323" s="199" t="s">
        <v>243</v>
      </c>
      <c r="D323" s="199">
        <v>0.5</v>
      </c>
    </row>
    <row r="324" spans="1:4" s="73" customFormat="1" ht="15">
      <c r="A324" s="327" t="s">
        <v>2331</v>
      </c>
      <c r="B324" s="91"/>
      <c r="C324" s="72" t="s">
        <v>243</v>
      </c>
      <c r="D324" s="72">
        <v>1</v>
      </c>
    </row>
    <row r="325" spans="1:4" s="73" customFormat="1" ht="28.5">
      <c r="A325" s="327" t="s">
        <v>2332</v>
      </c>
      <c r="B325" s="91"/>
      <c r="C325" s="72" t="s">
        <v>243</v>
      </c>
      <c r="D325" s="72">
        <v>4</v>
      </c>
    </row>
    <row r="326" spans="1:4" s="73" customFormat="1" ht="28.5">
      <c r="A326" s="327" t="s">
        <v>2333</v>
      </c>
      <c r="B326" s="91"/>
      <c r="C326" s="72" t="s">
        <v>243</v>
      </c>
      <c r="D326" s="72">
        <v>2</v>
      </c>
    </row>
    <row r="327" spans="1:4" s="73" customFormat="1" ht="15">
      <c r="A327" s="327" t="s">
        <v>2334</v>
      </c>
      <c r="B327" s="91"/>
      <c r="C327" s="72" t="s">
        <v>243</v>
      </c>
      <c r="D327" s="72">
        <v>1</v>
      </c>
    </row>
    <row r="328" spans="1:4" s="73" customFormat="1" ht="15">
      <c r="A328" s="327" t="s">
        <v>2335</v>
      </c>
      <c r="B328" s="91"/>
      <c r="C328" s="72" t="s">
        <v>243</v>
      </c>
      <c r="D328" s="72">
        <v>1</v>
      </c>
    </row>
    <row r="329" spans="1:4" s="73" customFormat="1" ht="15">
      <c r="A329" s="327" t="s">
        <v>2336</v>
      </c>
      <c r="B329" s="91"/>
      <c r="C329" s="72" t="s">
        <v>243</v>
      </c>
      <c r="D329" s="72">
        <v>1.5</v>
      </c>
    </row>
    <row r="330" spans="1:4" s="73" customFormat="1" ht="15">
      <c r="A330" s="327" t="s">
        <v>2337</v>
      </c>
      <c r="B330" s="91"/>
      <c r="C330" s="72" t="s">
        <v>243</v>
      </c>
      <c r="D330" s="72">
        <v>5</v>
      </c>
    </row>
    <row r="331" spans="1:4" s="73" customFormat="1" ht="16.5" customHeight="1">
      <c r="A331" s="327" t="s">
        <v>2338</v>
      </c>
      <c r="B331" s="91"/>
      <c r="C331" s="72" t="s">
        <v>243</v>
      </c>
      <c r="D331" s="72">
        <v>1</v>
      </c>
    </row>
    <row r="332" spans="1:4" s="73" customFormat="1" ht="15">
      <c r="A332" s="327" t="s">
        <v>2339</v>
      </c>
      <c r="B332" s="91"/>
      <c r="C332" s="72" t="s">
        <v>243</v>
      </c>
      <c r="D332" s="72">
        <v>1</v>
      </c>
    </row>
    <row r="333" spans="1:4" s="73" customFormat="1" ht="15">
      <c r="A333" s="327" t="s">
        <v>2340</v>
      </c>
      <c r="B333" s="91"/>
      <c r="C333" s="72" t="s">
        <v>243</v>
      </c>
      <c r="D333" s="72">
        <v>1</v>
      </c>
    </row>
    <row r="334" spans="1:4" s="73" customFormat="1" ht="18" customHeight="1">
      <c r="A334" s="401" t="s">
        <v>2372</v>
      </c>
      <c r="B334" s="402"/>
      <c r="C334" s="72" t="s">
        <v>243</v>
      </c>
      <c r="D334" s="72">
        <v>1</v>
      </c>
    </row>
    <row r="335" spans="1:4" s="73" customFormat="1" ht="15">
      <c r="A335" s="327" t="s">
        <v>2373</v>
      </c>
      <c r="B335" s="91"/>
      <c r="C335" s="72" t="s">
        <v>243</v>
      </c>
      <c r="D335" s="72">
        <v>1</v>
      </c>
    </row>
    <row r="336" spans="1:4" s="73" customFormat="1" ht="28.5">
      <c r="A336" s="327" t="s">
        <v>2374</v>
      </c>
      <c r="B336" s="91"/>
      <c r="C336" s="72" t="s">
        <v>243</v>
      </c>
      <c r="D336" s="72">
        <v>1</v>
      </c>
    </row>
    <row r="337" spans="1:4" s="73" customFormat="1" ht="28.5">
      <c r="A337" s="327" t="s">
        <v>2375</v>
      </c>
      <c r="B337" s="91"/>
      <c r="C337" s="72" t="s">
        <v>243</v>
      </c>
      <c r="D337" s="72">
        <v>4</v>
      </c>
    </row>
    <row r="338" spans="1:4" s="73" customFormat="1" ht="15">
      <c r="A338" s="327" t="s">
        <v>2376</v>
      </c>
      <c r="B338" s="91"/>
      <c r="C338" s="72" t="s">
        <v>243</v>
      </c>
      <c r="D338" s="72">
        <v>0.5</v>
      </c>
    </row>
    <row r="339" spans="1:4" s="73" customFormat="1" ht="28.5">
      <c r="A339" s="327" t="s">
        <v>2377</v>
      </c>
      <c r="B339" s="91"/>
      <c r="C339" s="72" t="s">
        <v>243</v>
      </c>
      <c r="D339" s="72">
        <v>1</v>
      </c>
    </row>
    <row r="340" spans="1:4" s="73" customFormat="1" ht="15">
      <c r="A340" s="327" t="s">
        <v>2378</v>
      </c>
      <c r="B340" s="91"/>
      <c r="C340" s="72" t="s">
        <v>243</v>
      </c>
      <c r="D340" s="72">
        <v>1</v>
      </c>
    </row>
    <row r="341" spans="1:4" s="73" customFormat="1" ht="15">
      <c r="A341" s="327" t="s">
        <v>2379</v>
      </c>
      <c r="B341" s="91"/>
      <c r="C341" s="72" t="s">
        <v>243</v>
      </c>
      <c r="D341" s="72">
        <v>1</v>
      </c>
    </row>
    <row r="342" spans="1:4" s="73" customFormat="1" ht="28.5">
      <c r="A342" s="327" t="s">
        <v>2380</v>
      </c>
      <c r="B342" s="91"/>
      <c r="C342" s="72" t="s">
        <v>243</v>
      </c>
      <c r="D342" s="72">
        <v>2</v>
      </c>
    </row>
    <row r="343" spans="1:4" s="73" customFormat="1" ht="15">
      <c r="A343" s="327" t="s">
        <v>2381</v>
      </c>
      <c r="B343" s="91"/>
      <c r="C343" s="72" t="s">
        <v>243</v>
      </c>
      <c r="D343" s="72">
        <v>2</v>
      </c>
    </row>
    <row r="344" spans="1:4" s="73" customFormat="1" ht="16.5" customHeight="1">
      <c r="A344" s="327" t="s">
        <v>2382</v>
      </c>
      <c r="B344" s="91"/>
      <c r="C344" s="72" t="s">
        <v>243</v>
      </c>
      <c r="D344" s="72">
        <v>1</v>
      </c>
    </row>
    <row r="345" spans="1:4" s="73" customFormat="1" ht="15">
      <c r="A345" s="327" t="s">
        <v>2383</v>
      </c>
      <c r="B345" s="91"/>
      <c r="C345" s="72" t="s">
        <v>243</v>
      </c>
      <c r="D345" s="72">
        <v>1</v>
      </c>
    </row>
    <row r="346" spans="1:4" s="73" customFormat="1" ht="28.5">
      <c r="A346" s="327" t="s">
        <v>2384</v>
      </c>
      <c r="B346" s="91"/>
      <c r="C346" s="72" t="s">
        <v>243</v>
      </c>
      <c r="D346" s="72">
        <v>2</v>
      </c>
    </row>
    <row r="347" spans="1:4" s="73" customFormat="1" ht="15">
      <c r="A347" s="134" t="s">
        <v>444</v>
      </c>
      <c r="B347" s="135"/>
      <c r="C347" s="109" t="s">
        <v>243</v>
      </c>
      <c r="D347" s="109">
        <v>2.5</v>
      </c>
    </row>
    <row r="348" spans="1:4" s="73" customFormat="1" ht="15">
      <c r="A348" s="134" t="s">
        <v>458</v>
      </c>
      <c r="B348" s="135"/>
      <c r="C348" s="109" t="s">
        <v>243</v>
      </c>
      <c r="D348" s="109">
        <v>1.5</v>
      </c>
    </row>
    <row r="349" spans="1:4" s="73" customFormat="1" ht="15">
      <c r="A349" s="134" t="s">
        <v>519</v>
      </c>
      <c r="B349" s="135"/>
      <c r="C349" s="109" t="s">
        <v>243</v>
      </c>
      <c r="D349" s="109">
        <v>2.5</v>
      </c>
    </row>
    <row r="350" spans="1:4" s="73" customFormat="1" ht="15">
      <c r="A350" s="134" t="s">
        <v>520</v>
      </c>
      <c r="B350" s="135"/>
      <c r="C350" s="109" t="s">
        <v>243</v>
      </c>
      <c r="D350" s="109">
        <v>1.5</v>
      </c>
    </row>
    <row r="351" spans="1:4" s="73" customFormat="1" ht="28.5">
      <c r="A351" s="134" t="s">
        <v>521</v>
      </c>
      <c r="B351" s="135"/>
      <c r="C351" s="109" t="s">
        <v>243</v>
      </c>
      <c r="D351" s="109">
        <v>2</v>
      </c>
    </row>
    <row r="352" spans="1:4" s="73" customFormat="1" ht="15">
      <c r="A352" s="134" t="s">
        <v>522</v>
      </c>
      <c r="B352" s="135"/>
      <c r="C352" s="109" t="s">
        <v>243</v>
      </c>
      <c r="D352" s="109">
        <v>2</v>
      </c>
    </row>
    <row r="353" spans="1:4" s="73" customFormat="1" ht="16.5" customHeight="1">
      <c r="A353" s="134" t="s">
        <v>551</v>
      </c>
      <c r="B353" s="135"/>
      <c r="C353" s="109" t="s">
        <v>243</v>
      </c>
      <c r="D353" s="109">
        <v>8</v>
      </c>
    </row>
    <row r="354" spans="1:4" s="73" customFormat="1" ht="15">
      <c r="A354" s="134" t="s">
        <v>552</v>
      </c>
      <c r="B354" s="135"/>
      <c r="C354" s="109" t="s">
        <v>243</v>
      </c>
      <c r="D354" s="109">
        <v>1.5</v>
      </c>
    </row>
    <row r="355" spans="1:4" s="73" customFormat="1" ht="15">
      <c r="A355" s="156"/>
      <c r="B355" s="135"/>
      <c r="C355" s="109"/>
      <c r="D355" s="109"/>
    </row>
    <row r="356" spans="1:4" ht="15.75" thickBot="1">
      <c r="A356" s="546" t="s">
        <v>410</v>
      </c>
      <c r="B356" s="547"/>
      <c r="C356" s="109"/>
      <c r="D356" s="109"/>
    </row>
    <row r="357" spans="1:4" ht="15.75" thickBot="1">
      <c r="A357" s="497" t="s">
        <v>104</v>
      </c>
      <c r="B357" s="498"/>
      <c r="C357" s="109"/>
      <c r="D357" s="109"/>
    </row>
    <row r="358" spans="1:4" ht="15">
      <c r="A358" s="157"/>
      <c r="B358" s="157"/>
      <c r="C358" s="136"/>
      <c r="D358" s="136"/>
    </row>
    <row r="359" spans="1:4" ht="15.75">
      <c r="A359" s="545" t="s">
        <v>233</v>
      </c>
      <c r="B359" s="545"/>
      <c r="C359" s="545"/>
      <c r="D359" s="545"/>
    </row>
    <row r="360" spans="1:4" ht="15">
      <c r="A360" s="136"/>
      <c r="B360" s="136"/>
      <c r="C360" s="136"/>
      <c r="D360" s="136"/>
    </row>
    <row r="361" spans="1:4" ht="15.75">
      <c r="A361" s="545" t="s">
        <v>234</v>
      </c>
      <c r="B361" s="545"/>
      <c r="C361" s="545"/>
      <c r="D361" s="545"/>
    </row>
    <row r="362" spans="1:4" ht="15">
      <c r="A362" s="136"/>
      <c r="B362" s="136"/>
      <c r="C362" s="136"/>
      <c r="D362" s="136"/>
    </row>
    <row r="363" spans="1:4" ht="15">
      <c r="A363" s="136" t="s">
        <v>285</v>
      </c>
      <c r="B363" s="136"/>
      <c r="C363" s="136"/>
      <c r="D363" s="136"/>
    </row>
    <row r="364" spans="1:4" ht="15">
      <c r="A364" s="72" t="s">
        <v>329</v>
      </c>
      <c r="B364" s="72"/>
      <c r="C364" s="72" t="s">
        <v>395</v>
      </c>
      <c r="D364" s="72">
        <f>8+8+8</f>
        <v>24</v>
      </c>
    </row>
    <row r="365" spans="1:4" ht="15">
      <c r="A365" s="72" t="s">
        <v>330</v>
      </c>
      <c r="B365" s="72"/>
      <c r="C365" s="72" t="s">
        <v>397</v>
      </c>
      <c r="D365" s="72">
        <f>8+5+8+8+8</f>
        <v>37</v>
      </c>
    </row>
    <row r="366" spans="1:4" ht="15">
      <c r="A366" s="72" t="s">
        <v>379</v>
      </c>
      <c r="B366" s="72"/>
      <c r="C366" s="72" t="s">
        <v>378</v>
      </c>
      <c r="D366" s="72">
        <f>2+8</f>
        <v>10</v>
      </c>
    </row>
    <row r="367" spans="1:4" ht="15">
      <c r="A367" s="72" t="s">
        <v>289</v>
      </c>
      <c r="B367" s="72"/>
      <c r="C367" s="72" t="s">
        <v>363</v>
      </c>
      <c r="D367" s="72">
        <f>5+8+8</f>
        <v>21</v>
      </c>
    </row>
    <row r="368" spans="1:4" ht="15">
      <c r="A368" s="72" t="s">
        <v>292</v>
      </c>
      <c r="B368" s="72"/>
      <c r="C368" s="72" t="s">
        <v>382</v>
      </c>
      <c r="D368" s="72">
        <f>8+8+8+8+8</f>
        <v>40</v>
      </c>
    </row>
    <row r="369" spans="1:4" ht="15">
      <c r="A369" s="72" t="s">
        <v>295</v>
      </c>
      <c r="B369" s="72"/>
      <c r="C369" s="72" t="s">
        <v>279</v>
      </c>
      <c r="D369" s="72">
        <v>6.5</v>
      </c>
    </row>
    <row r="370" spans="1:4" ht="15">
      <c r="A370" s="72" t="s">
        <v>308</v>
      </c>
      <c r="B370" s="72"/>
      <c r="C370" s="72" t="s">
        <v>309</v>
      </c>
      <c r="D370" s="72">
        <v>3</v>
      </c>
    </row>
    <row r="371" spans="1:4" ht="15">
      <c r="A371" s="72" t="s">
        <v>310</v>
      </c>
      <c r="B371" s="72"/>
      <c r="C371" s="72" t="s">
        <v>396</v>
      </c>
      <c r="D371" s="72">
        <f>3+8+7</f>
        <v>18</v>
      </c>
    </row>
    <row r="372" spans="1:4" ht="15">
      <c r="A372" s="72" t="s">
        <v>311</v>
      </c>
      <c r="B372" s="72"/>
      <c r="C372" s="72" t="s">
        <v>309</v>
      </c>
      <c r="D372" s="72">
        <v>4</v>
      </c>
    </row>
    <row r="373" spans="1:4" ht="15">
      <c r="A373" s="72" t="s">
        <v>312</v>
      </c>
      <c r="B373" s="72"/>
      <c r="C373" s="72" t="s">
        <v>371</v>
      </c>
      <c r="D373" s="72">
        <f>8+8</f>
        <v>16</v>
      </c>
    </row>
    <row r="374" spans="1:4" ht="15">
      <c r="A374" s="72" t="s">
        <v>313</v>
      </c>
      <c r="B374" s="72"/>
      <c r="C374" s="72" t="s">
        <v>380</v>
      </c>
      <c r="D374" s="72">
        <f>8+8+8</f>
        <v>24</v>
      </c>
    </row>
    <row r="375" spans="1:4" ht="15">
      <c r="A375" s="72" t="s">
        <v>314</v>
      </c>
      <c r="B375" s="72"/>
      <c r="C375" s="72" t="s">
        <v>398</v>
      </c>
      <c r="D375" s="72">
        <f>8+8+8+8+8</f>
        <v>40</v>
      </c>
    </row>
    <row r="376" spans="1:4" ht="15">
      <c r="A376" s="72" t="s">
        <v>315</v>
      </c>
      <c r="B376" s="72"/>
      <c r="C376" s="72" t="s">
        <v>399</v>
      </c>
      <c r="D376" s="72">
        <f>8+7+7</f>
        <v>22</v>
      </c>
    </row>
    <row r="377" spans="1:4" ht="15">
      <c r="A377" s="72" t="s">
        <v>316</v>
      </c>
      <c r="B377" s="72"/>
      <c r="C377" s="72" t="s">
        <v>381</v>
      </c>
      <c r="D377" s="72">
        <f>8+8</f>
        <v>16</v>
      </c>
    </row>
    <row r="378" spans="1:4" ht="15">
      <c r="A378" s="72" t="s">
        <v>317</v>
      </c>
      <c r="B378" s="72"/>
      <c r="C378" s="72" t="s">
        <v>358</v>
      </c>
      <c r="D378" s="72">
        <f>8+8</f>
        <v>16</v>
      </c>
    </row>
    <row r="379" spans="1:4" ht="15">
      <c r="A379" s="72" t="s">
        <v>318</v>
      </c>
      <c r="B379" s="72"/>
      <c r="C379" s="72" t="s">
        <v>383</v>
      </c>
      <c r="D379" s="72">
        <f>8+8+8</f>
        <v>24</v>
      </c>
    </row>
    <row r="380" spans="1:4" ht="15">
      <c r="A380" s="72" t="s">
        <v>319</v>
      </c>
      <c r="B380" s="72"/>
      <c r="C380" s="72" t="s">
        <v>386</v>
      </c>
      <c r="D380" s="72">
        <f>7+7+7</f>
        <v>21</v>
      </c>
    </row>
    <row r="381" spans="1:4" ht="15">
      <c r="A381" s="72" t="s">
        <v>320</v>
      </c>
      <c r="B381" s="72"/>
      <c r="C381" s="72" t="s">
        <v>371</v>
      </c>
      <c r="D381" s="72">
        <f>5+5</f>
        <v>10</v>
      </c>
    </row>
    <row r="382" spans="1:4" ht="15">
      <c r="A382" s="72" t="s">
        <v>321</v>
      </c>
      <c r="B382" s="72"/>
      <c r="C382" s="72" t="s">
        <v>377</v>
      </c>
      <c r="D382" s="72">
        <f>8+8+8</f>
        <v>24</v>
      </c>
    </row>
    <row r="383" spans="1:4" ht="15">
      <c r="A383" s="72" t="s">
        <v>341</v>
      </c>
      <c r="B383" s="72"/>
      <c r="C383" s="72" t="s">
        <v>328</v>
      </c>
      <c r="D383" s="72">
        <v>6</v>
      </c>
    </row>
    <row r="384" spans="1:4" ht="15">
      <c r="A384" s="72" t="s">
        <v>366</v>
      </c>
      <c r="B384" s="72"/>
      <c r="C384" s="72" t="s">
        <v>360</v>
      </c>
      <c r="D384" s="72">
        <v>5</v>
      </c>
    </row>
    <row r="385" spans="1:4" ht="15">
      <c r="A385" s="72" t="s">
        <v>367</v>
      </c>
      <c r="B385" s="72"/>
      <c r="C385" s="72" t="s">
        <v>394</v>
      </c>
      <c r="D385" s="72">
        <f>8+8</f>
        <v>16</v>
      </c>
    </row>
    <row r="386" spans="1:4" ht="15">
      <c r="A386" s="72" t="s">
        <v>368</v>
      </c>
      <c r="B386" s="72"/>
      <c r="C386" s="72" t="s">
        <v>394</v>
      </c>
      <c r="D386" s="72">
        <f>8+8</f>
        <v>16</v>
      </c>
    </row>
    <row r="387" spans="1:4" ht="15">
      <c r="A387" s="72" t="s">
        <v>376</v>
      </c>
      <c r="B387" s="72"/>
      <c r="C387" s="72" t="s">
        <v>385</v>
      </c>
      <c r="D387" s="72">
        <f>4+2</f>
        <v>6</v>
      </c>
    </row>
    <row r="388" spans="1:4" ht="15">
      <c r="A388" s="72" t="s">
        <v>389</v>
      </c>
      <c r="B388" s="72"/>
      <c r="C388" s="72" t="s">
        <v>390</v>
      </c>
      <c r="D388" s="72">
        <v>8</v>
      </c>
    </row>
    <row r="389" spans="1:4" ht="15">
      <c r="A389" s="76"/>
      <c r="B389" s="76"/>
      <c r="C389" s="76"/>
      <c r="D389" s="76"/>
    </row>
    <row r="390" spans="1:4" ht="15">
      <c r="A390" s="76"/>
      <c r="B390" s="76"/>
      <c r="C390" s="76"/>
      <c r="D390" s="76"/>
    </row>
    <row r="391" spans="1:4" ht="15">
      <c r="A391" s="76"/>
      <c r="B391" s="76"/>
      <c r="C391" s="76"/>
      <c r="D391" s="76"/>
    </row>
    <row r="392" spans="1:4" ht="15">
      <c r="A392" s="76"/>
      <c r="B392" s="76"/>
      <c r="C392" s="76"/>
      <c r="D392" s="76"/>
    </row>
    <row r="393" spans="1:4" ht="15">
      <c r="A393" s="76"/>
      <c r="B393" s="76"/>
      <c r="C393" s="76"/>
      <c r="D393" s="76"/>
    </row>
    <row r="394" spans="1:4" ht="15">
      <c r="A394" s="76"/>
      <c r="B394" s="76"/>
      <c r="C394" s="76"/>
      <c r="D394" s="76"/>
    </row>
    <row r="395" spans="1:4" ht="15">
      <c r="A395" s="76"/>
      <c r="B395" s="76"/>
      <c r="C395" s="76"/>
      <c r="D395" s="76"/>
    </row>
    <row r="396" spans="1:4" ht="15">
      <c r="A396" s="76"/>
      <c r="B396" s="76"/>
      <c r="C396" s="76"/>
      <c r="D396" s="76"/>
    </row>
    <row r="397" spans="1:4" ht="15">
      <c r="A397" s="76"/>
      <c r="B397" s="76"/>
      <c r="C397" s="76"/>
      <c r="D397" s="76"/>
    </row>
    <row r="398" spans="1:4" ht="15">
      <c r="A398" s="76"/>
      <c r="B398" s="76"/>
      <c r="C398" s="76"/>
      <c r="D398" s="76"/>
    </row>
    <row r="399" spans="1:4" ht="15">
      <c r="A399" s="76"/>
      <c r="B399" s="76"/>
      <c r="C399" s="76"/>
      <c r="D399" s="76"/>
    </row>
    <row r="400" spans="1:4" ht="15">
      <c r="A400" s="76"/>
      <c r="B400" s="76"/>
      <c r="C400" s="76"/>
      <c r="D400" s="76"/>
    </row>
    <row r="401" spans="1:4" ht="15">
      <c r="A401" s="76"/>
      <c r="B401" s="76"/>
      <c r="C401" s="76"/>
      <c r="D401" s="76"/>
    </row>
    <row r="402" spans="1:4" ht="15">
      <c r="A402" s="76"/>
      <c r="B402" s="76"/>
      <c r="C402" s="76"/>
      <c r="D402" s="76"/>
    </row>
    <row r="403" spans="1:4" ht="15">
      <c r="A403" s="76"/>
      <c r="B403" s="76"/>
      <c r="C403" s="76"/>
      <c r="D403" s="76"/>
    </row>
    <row r="404" spans="1:4" ht="15">
      <c r="A404" s="76"/>
      <c r="B404" s="76"/>
      <c r="C404" s="76"/>
      <c r="D404" s="76"/>
    </row>
    <row r="405" spans="1:4" ht="15">
      <c r="A405" s="76"/>
      <c r="B405" s="76"/>
      <c r="C405" s="76"/>
      <c r="D405" s="76"/>
    </row>
    <row r="406" spans="1:4" ht="15">
      <c r="A406" s="76"/>
      <c r="B406" s="76"/>
      <c r="C406" s="76"/>
      <c r="D406" s="76"/>
    </row>
    <row r="407" spans="1:4" ht="15">
      <c r="A407" s="76"/>
      <c r="B407" s="76"/>
      <c r="C407" s="76"/>
      <c r="D407" s="76"/>
    </row>
    <row r="408" spans="1:4" ht="15">
      <c r="A408" s="76"/>
      <c r="B408" s="76"/>
      <c r="C408" s="76"/>
      <c r="D408" s="76"/>
    </row>
    <row r="409" spans="1:4" ht="15">
      <c r="A409" s="76"/>
      <c r="B409" s="76"/>
      <c r="C409" s="76"/>
      <c r="D409" s="76"/>
    </row>
    <row r="410" spans="1:4" ht="15">
      <c r="A410" s="76"/>
      <c r="B410" s="76"/>
      <c r="C410" s="76"/>
      <c r="D410" s="76"/>
    </row>
    <row r="411" spans="1:4" ht="15">
      <c r="A411" s="76"/>
      <c r="B411" s="76"/>
      <c r="C411" s="76"/>
      <c r="D411" s="76"/>
    </row>
    <row r="412" spans="1:4" ht="15">
      <c r="A412" s="76"/>
      <c r="B412" s="76"/>
      <c r="C412" s="76"/>
      <c r="D412" s="76"/>
    </row>
    <row r="413" spans="1:4" ht="15">
      <c r="A413" s="76"/>
      <c r="B413" s="76"/>
      <c r="C413" s="76"/>
      <c r="D413" s="76"/>
    </row>
    <row r="414" spans="1:4" ht="15">
      <c r="A414" s="76"/>
      <c r="B414" s="76"/>
      <c r="C414" s="76"/>
      <c r="D414" s="76"/>
    </row>
    <row r="415" spans="1:4" ht="15">
      <c r="A415" s="76"/>
      <c r="B415" s="76"/>
      <c r="C415" s="76"/>
      <c r="D415" s="76"/>
    </row>
    <row r="416" spans="1:4" ht="15">
      <c r="A416" s="76"/>
      <c r="B416" s="76"/>
      <c r="C416" s="76"/>
      <c r="D416" s="76"/>
    </row>
    <row r="417" spans="1:4" ht="15">
      <c r="A417" s="76"/>
      <c r="B417" s="76"/>
      <c r="C417" s="76"/>
      <c r="D417" s="76"/>
    </row>
    <row r="418" spans="1:4" ht="15">
      <c r="A418" s="76"/>
      <c r="B418" s="76"/>
      <c r="C418" s="76"/>
      <c r="D418" s="76"/>
    </row>
    <row r="419" spans="1:4" ht="15">
      <c r="A419" s="76"/>
      <c r="B419" s="76"/>
      <c r="C419" s="76"/>
      <c r="D419" s="76"/>
    </row>
    <row r="420" spans="1:4" ht="15">
      <c r="A420" s="76"/>
      <c r="B420" s="76"/>
      <c r="C420" s="76"/>
      <c r="D420" s="76"/>
    </row>
    <row r="421" spans="1:4" ht="15">
      <c r="A421" s="76"/>
      <c r="B421" s="76"/>
      <c r="C421" s="76"/>
      <c r="D421" s="76"/>
    </row>
    <row r="422" spans="1:4" ht="15">
      <c r="A422" s="76"/>
      <c r="B422" s="76"/>
      <c r="C422" s="76"/>
      <c r="D422" s="76"/>
    </row>
    <row r="423" spans="1:4" ht="15">
      <c r="A423" s="76"/>
      <c r="B423" s="76"/>
      <c r="C423" s="76"/>
      <c r="D423" s="76"/>
    </row>
    <row r="424" spans="1:4" ht="15">
      <c r="A424" s="76"/>
      <c r="B424" s="76"/>
      <c r="C424" s="76"/>
      <c r="D424" s="76"/>
    </row>
    <row r="425" spans="1:4" ht="15">
      <c r="A425" s="76"/>
      <c r="B425" s="76"/>
      <c r="C425" s="76"/>
      <c r="D425" s="76"/>
    </row>
    <row r="426" spans="1:4" ht="15">
      <c r="A426" s="76"/>
      <c r="B426" s="76"/>
      <c r="C426" s="76"/>
      <c r="D426" s="76"/>
    </row>
    <row r="427" spans="1:4" ht="15">
      <c r="A427" s="76"/>
      <c r="B427" s="76"/>
      <c r="C427" s="76"/>
      <c r="D427" s="76"/>
    </row>
    <row r="428" spans="1:4" ht="15">
      <c r="A428" s="76"/>
      <c r="B428" s="76"/>
      <c r="C428" s="76"/>
      <c r="D428" s="76"/>
    </row>
    <row r="429" spans="1:4" ht="15">
      <c r="A429" s="76"/>
      <c r="B429" s="76"/>
      <c r="C429" s="76"/>
      <c r="D429" s="76"/>
    </row>
  </sheetData>
  <sheetProtection/>
  <mergeCells count="85">
    <mergeCell ref="A359:D359"/>
    <mergeCell ref="A361:D361"/>
    <mergeCell ref="A169:B169"/>
    <mergeCell ref="A170:B170"/>
    <mergeCell ref="A173:B173"/>
    <mergeCell ref="A236:B236"/>
    <mergeCell ref="A237:B237"/>
    <mergeCell ref="A238:B238"/>
    <mergeCell ref="A239:B239"/>
    <mergeCell ref="A356:B356"/>
    <mergeCell ref="A357:B357"/>
    <mergeCell ref="A297:B297"/>
    <mergeCell ref="A175:B175"/>
    <mergeCell ref="A176:B176"/>
    <mergeCell ref="A301:B301"/>
    <mergeCell ref="A179:B179"/>
    <mergeCell ref="A43:B43"/>
    <mergeCell ref="A44:B44"/>
    <mergeCell ref="A14:B14"/>
    <mergeCell ref="A15:B15"/>
    <mergeCell ref="A37:B37"/>
    <mergeCell ref="A38:B38"/>
    <mergeCell ref="A39:B39"/>
    <mergeCell ref="A20:B20"/>
    <mergeCell ref="A23:B23"/>
    <mergeCell ref="A22:B22"/>
    <mergeCell ref="A24:B24"/>
    <mergeCell ref="A25:B25"/>
    <mergeCell ref="A26:B26"/>
    <mergeCell ref="A27:B27"/>
    <mergeCell ref="A28:B28"/>
    <mergeCell ref="A102:B102"/>
    <mergeCell ref="A13:B13"/>
    <mergeCell ref="A1:D1"/>
    <mergeCell ref="A2:D2"/>
    <mergeCell ref="A3:D3"/>
    <mergeCell ref="A5:B5"/>
    <mergeCell ref="A6:B6"/>
    <mergeCell ref="A7:B7"/>
    <mergeCell ref="A8:B8"/>
    <mergeCell ref="A9:B9"/>
    <mergeCell ref="A10:B10"/>
    <mergeCell ref="A11:B11"/>
    <mergeCell ref="A12:B12"/>
    <mergeCell ref="A40:B40"/>
    <mergeCell ref="A41:B41"/>
    <mergeCell ref="A42:B42"/>
    <mergeCell ref="A29:B29"/>
    <mergeCell ref="A30:B30"/>
    <mergeCell ref="A161:B161"/>
    <mergeCell ref="A120:B120"/>
    <mergeCell ref="A144:B144"/>
    <mergeCell ref="A145:B145"/>
    <mergeCell ref="A146:B146"/>
    <mergeCell ref="A147:B147"/>
    <mergeCell ref="A149:B149"/>
    <mergeCell ref="A150:B150"/>
    <mergeCell ref="A151:B151"/>
    <mergeCell ref="A152:B152"/>
    <mergeCell ref="A154:B154"/>
    <mergeCell ref="A155:B155"/>
    <mergeCell ref="A156:B156"/>
    <mergeCell ref="A157:B157"/>
    <mergeCell ref="A180:B180"/>
    <mergeCell ref="A181:B181"/>
    <mergeCell ref="A310:B310"/>
    <mergeCell ref="A31:B31"/>
    <mergeCell ref="A32:B32"/>
    <mergeCell ref="A33:B33"/>
    <mergeCell ref="A34:B34"/>
    <mergeCell ref="A35:B35"/>
    <mergeCell ref="A184:B184"/>
    <mergeCell ref="A185:B185"/>
    <mergeCell ref="A186:B186"/>
    <mergeCell ref="A195:B195"/>
    <mergeCell ref="A162:B162"/>
    <mergeCell ref="A163:B163"/>
    <mergeCell ref="A166:B166"/>
    <mergeCell ref="A247:B247"/>
    <mergeCell ref="A334:B334"/>
    <mergeCell ref="A321:B321"/>
    <mergeCell ref="A203:B203"/>
    <mergeCell ref="A204:B204"/>
    <mergeCell ref="A205:B205"/>
    <mergeCell ref="A218:B218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D128"/>
  <sheetViews>
    <sheetView zoomScalePageLayoutView="0" workbookViewId="0" topLeftCell="A109">
      <selection activeCell="A122" sqref="A122:IV122"/>
    </sheetView>
  </sheetViews>
  <sheetFormatPr defaultColWidth="9.140625" defaultRowHeight="15"/>
  <cols>
    <col min="1" max="1" width="80.8515625" style="0" customWidth="1"/>
    <col min="2" max="2" width="3.28125" style="0" hidden="1" customWidth="1"/>
    <col min="3" max="3" width="25.00390625" style="0" customWidth="1"/>
  </cols>
  <sheetData>
    <row r="1" spans="1:4" ht="15.75">
      <c r="A1" s="381" t="s">
        <v>230</v>
      </c>
      <c r="B1" s="381"/>
      <c r="C1" s="381"/>
      <c r="D1" s="381"/>
    </row>
    <row r="2" spans="1:4" ht="15.75">
      <c r="A2" s="382" t="s">
        <v>253</v>
      </c>
      <c r="B2" s="382"/>
      <c r="C2" s="382"/>
      <c r="D2" s="382"/>
    </row>
    <row r="3" spans="1:4" s="55" customFormat="1" ht="15.75">
      <c r="A3" s="382" t="s">
        <v>2386</v>
      </c>
      <c r="B3" s="382"/>
      <c r="C3" s="382"/>
      <c r="D3" s="382"/>
    </row>
    <row r="4" spans="1:4" s="55" customFormat="1" ht="15.75">
      <c r="A4" s="96"/>
      <c r="B4" s="96"/>
      <c r="C4" s="89"/>
      <c r="D4" s="89"/>
    </row>
    <row r="5" spans="1:4" ht="30">
      <c r="A5" s="383" t="s">
        <v>229</v>
      </c>
      <c r="B5" s="384"/>
      <c r="C5" s="86" t="s">
        <v>231</v>
      </c>
      <c r="D5" s="85" t="s">
        <v>530</v>
      </c>
    </row>
    <row r="6" spans="1:4" ht="15">
      <c r="A6" s="383" t="s">
        <v>229</v>
      </c>
      <c r="B6" s="384"/>
      <c r="C6" s="73"/>
      <c r="D6" s="73"/>
    </row>
    <row r="7" spans="1:4" ht="15.75" thickBot="1">
      <c r="A7" s="379" t="s">
        <v>0</v>
      </c>
      <c r="B7" s="380"/>
      <c r="C7" s="76"/>
      <c r="D7" s="76"/>
    </row>
    <row r="8" spans="1:4" ht="15">
      <c r="A8" s="435" t="s">
        <v>24</v>
      </c>
      <c r="B8" s="436"/>
      <c r="C8" s="77"/>
      <c r="D8" s="77"/>
    </row>
    <row r="9" spans="1:4" ht="15">
      <c r="A9" s="435" t="s">
        <v>236</v>
      </c>
      <c r="B9" s="436"/>
      <c r="C9" s="77"/>
      <c r="D9" s="77"/>
    </row>
    <row r="10" spans="1:4" ht="15.75" thickBot="1">
      <c r="A10" s="451" t="s">
        <v>28</v>
      </c>
      <c r="B10" s="445"/>
      <c r="C10" s="77"/>
      <c r="D10" s="77"/>
    </row>
    <row r="11" spans="1:4" ht="15.75" thickBot="1">
      <c r="A11" s="375" t="s">
        <v>29</v>
      </c>
      <c r="B11" s="376"/>
      <c r="C11" s="77"/>
      <c r="D11" s="77"/>
    </row>
    <row r="12" spans="1:4" ht="15">
      <c r="A12" s="433" t="s">
        <v>45</v>
      </c>
      <c r="B12" s="434"/>
      <c r="C12" s="77"/>
      <c r="D12" s="77"/>
    </row>
    <row r="13" spans="1:4" ht="15.75" thickBot="1">
      <c r="A13" s="72" t="s">
        <v>2385</v>
      </c>
      <c r="B13" s="72"/>
      <c r="C13" s="72"/>
      <c r="D13" s="72">
        <v>152.98</v>
      </c>
    </row>
    <row r="14" spans="1:4" ht="15.75" thickBot="1">
      <c r="A14" s="377" t="s">
        <v>56</v>
      </c>
      <c r="B14" s="378"/>
      <c r="C14" s="77"/>
      <c r="D14" s="77"/>
    </row>
    <row r="15" spans="1:4" ht="15.75" thickBot="1">
      <c r="A15" s="375" t="s">
        <v>57</v>
      </c>
      <c r="B15" s="376"/>
      <c r="C15" s="77"/>
      <c r="D15" s="77"/>
    </row>
    <row r="16" spans="1:4" ht="15.75" thickBot="1">
      <c r="A16" s="326" t="s">
        <v>2387</v>
      </c>
      <c r="B16" s="317"/>
      <c r="C16" s="72" t="s">
        <v>279</v>
      </c>
      <c r="D16" s="72">
        <v>130</v>
      </c>
    </row>
    <row r="17" spans="1:4" ht="15.75" thickBot="1">
      <c r="A17" s="193" t="s">
        <v>2160</v>
      </c>
      <c r="B17" s="306"/>
      <c r="C17" s="72" t="s">
        <v>360</v>
      </c>
      <c r="D17" s="72">
        <f>0.5*130</f>
        <v>65</v>
      </c>
    </row>
    <row r="18" spans="1:4" ht="15.75" thickBot="1">
      <c r="A18" s="329" t="s">
        <v>2392</v>
      </c>
      <c r="B18" s="317"/>
      <c r="C18" s="72" t="s">
        <v>342</v>
      </c>
      <c r="D18" s="72">
        <f>130*2</f>
        <v>260</v>
      </c>
    </row>
    <row r="19" spans="1:4" ht="15">
      <c r="A19" s="327" t="s">
        <v>2393</v>
      </c>
      <c r="B19" s="91"/>
      <c r="C19" s="72" t="s">
        <v>400</v>
      </c>
      <c r="D19" s="72">
        <f>4*130</f>
        <v>520</v>
      </c>
    </row>
    <row r="20" spans="1:4" ht="15">
      <c r="A20" s="399" t="s">
        <v>1230</v>
      </c>
      <c r="B20" s="400"/>
      <c r="C20" s="181" t="s">
        <v>359</v>
      </c>
      <c r="D20" s="199">
        <f>1.2+1.2</f>
        <v>2.4</v>
      </c>
    </row>
    <row r="21" spans="1:4" ht="15" customHeight="1">
      <c r="A21" s="399" t="s">
        <v>2400</v>
      </c>
      <c r="B21" s="400"/>
      <c r="C21" s="181" t="s">
        <v>390</v>
      </c>
      <c r="D21" s="199">
        <v>2</v>
      </c>
    </row>
    <row r="22" spans="1:4" s="73" customFormat="1" ht="15">
      <c r="A22" s="330" t="s">
        <v>2408</v>
      </c>
      <c r="B22" s="91"/>
      <c r="C22" s="72" t="s">
        <v>371</v>
      </c>
      <c r="D22" s="72">
        <f>4+4</f>
        <v>8</v>
      </c>
    </row>
    <row r="23" spans="1:4" ht="15">
      <c r="A23" s="399" t="s">
        <v>2409</v>
      </c>
      <c r="B23" s="400"/>
      <c r="C23" s="72" t="s">
        <v>400</v>
      </c>
      <c r="D23" s="72">
        <v>0.8</v>
      </c>
    </row>
    <row r="24" spans="1:4" s="73" customFormat="1" ht="15">
      <c r="A24" s="399" t="s">
        <v>2412</v>
      </c>
      <c r="B24" s="400"/>
      <c r="C24" s="72" t="s">
        <v>468</v>
      </c>
      <c r="D24" s="72">
        <v>4</v>
      </c>
    </row>
    <row r="25" spans="1:4" s="73" customFormat="1" ht="15">
      <c r="A25" s="399" t="s">
        <v>555</v>
      </c>
      <c r="B25" s="400"/>
      <c r="C25" s="72" t="s">
        <v>468</v>
      </c>
      <c r="D25" s="72">
        <f>3+3</f>
        <v>6</v>
      </c>
    </row>
    <row r="26" spans="1:4" s="73" customFormat="1" ht="19.5" customHeight="1">
      <c r="A26" s="399" t="s">
        <v>571</v>
      </c>
      <c r="B26" s="400"/>
      <c r="C26" s="105" t="s">
        <v>485</v>
      </c>
      <c r="D26" s="72">
        <v>2</v>
      </c>
    </row>
    <row r="27" spans="1:4" s="73" customFormat="1" ht="15">
      <c r="A27" s="400" t="s">
        <v>580</v>
      </c>
      <c r="B27" s="448"/>
      <c r="C27" s="72" t="s">
        <v>577</v>
      </c>
      <c r="D27" s="72">
        <v>3.5</v>
      </c>
    </row>
    <row r="28" spans="1:4" s="73" customFormat="1" ht="15">
      <c r="A28" s="400" t="s">
        <v>1286</v>
      </c>
      <c r="B28" s="448"/>
      <c r="C28" s="72" t="s">
        <v>1287</v>
      </c>
      <c r="D28" s="72">
        <v>4.5</v>
      </c>
    </row>
    <row r="29" spans="1:4" s="73" customFormat="1" ht="15">
      <c r="A29" s="72" t="s">
        <v>1717</v>
      </c>
      <c r="B29" s="72"/>
      <c r="C29" s="72" t="s">
        <v>1718</v>
      </c>
      <c r="D29" s="72">
        <v>3</v>
      </c>
    </row>
    <row r="30" spans="1:4" s="73" customFormat="1" ht="15">
      <c r="A30" s="400" t="s">
        <v>2423</v>
      </c>
      <c r="B30" s="448"/>
      <c r="C30" s="72" t="s">
        <v>2424</v>
      </c>
      <c r="D30" s="72">
        <v>5</v>
      </c>
    </row>
    <row r="31" spans="1:4" s="73" customFormat="1" ht="12.75" customHeight="1">
      <c r="A31" s="400" t="s">
        <v>1829</v>
      </c>
      <c r="B31" s="448"/>
      <c r="C31" s="72" t="s">
        <v>1830</v>
      </c>
      <c r="D31" s="72">
        <v>1.5</v>
      </c>
    </row>
    <row r="32" spans="1:4" s="73" customFormat="1" ht="15">
      <c r="A32" s="400" t="s">
        <v>1832</v>
      </c>
      <c r="B32" s="448"/>
      <c r="C32" s="72" t="s">
        <v>1833</v>
      </c>
      <c r="D32" s="72">
        <v>3</v>
      </c>
    </row>
    <row r="33" spans="1:4" s="73" customFormat="1" ht="12.75" customHeight="1">
      <c r="A33" s="400" t="s">
        <v>2450</v>
      </c>
      <c r="B33" s="448"/>
      <c r="C33" s="72" t="s">
        <v>1313</v>
      </c>
      <c r="D33" s="72">
        <v>6</v>
      </c>
    </row>
    <row r="34" spans="1:4" ht="15.75" customHeight="1" thickBot="1">
      <c r="A34" s="445" t="s">
        <v>63</v>
      </c>
      <c r="B34" s="446"/>
      <c r="C34" s="77"/>
      <c r="D34" s="77"/>
    </row>
    <row r="35" spans="1:4" ht="15.75" thickBot="1">
      <c r="A35" s="387" t="s">
        <v>64</v>
      </c>
      <c r="B35" s="377"/>
      <c r="C35" s="77"/>
      <c r="D35" s="77"/>
    </row>
    <row r="36" spans="1:4" ht="15">
      <c r="A36" s="388" t="s">
        <v>66</v>
      </c>
      <c r="B36" s="389"/>
      <c r="C36" s="77"/>
      <c r="D36" s="77"/>
    </row>
    <row r="37" spans="1:4" ht="15" customHeight="1">
      <c r="A37" s="87" t="s">
        <v>2401</v>
      </c>
      <c r="B37" s="140"/>
      <c r="C37" s="181" t="s">
        <v>328</v>
      </c>
      <c r="D37" s="199">
        <v>1</v>
      </c>
    </row>
    <row r="38" spans="1:4" ht="15" customHeight="1">
      <c r="A38" s="87" t="s">
        <v>2402</v>
      </c>
      <c r="B38" s="140"/>
      <c r="C38" s="181" t="s">
        <v>370</v>
      </c>
      <c r="D38" s="199">
        <v>0.5</v>
      </c>
    </row>
    <row r="39" spans="1:4" ht="15">
      <c r="A39" s="87" t="s">
        <v>2403</v>
      </c>
      <c r="B39" s="140"/>
      <c r="C39" s="181" t="s">
        <v>400</v>
      </c>
      <c r="D39" s="199">
        <v>0.5</v>
      </c>
    </row>
    <row r="40" spans="1:4" s="73" customFormat="1" ht="15">
      <c r="A40" s="87" t="s">
        <v>773</v>
      </c>
      <c r="B40" s="93"/>
      <c r="C40" s="72" t="s">
        <v>784</v>
      </c>
      <c r="D40" s="72">
        <v>2</v>
      </c>
    </row>
    <row r="41" spans="1:4" ht="15" customHeight="1">
      <c r="A41" s="87" t="s">
        <v>2410</v>
      </c>
      <c r="B41" s="88"/>
      <c r="C41" s="72" t="s">
        <v>390</v>
      </c>
      <c r="D41" s="72">
        <v>3</v>
      </c>
    </row>
    <row r="42" spans="1:4" s="73" customFormat="1" ht="15" customHeight="1">
      <c r="A42" s="87" t="s">
        <v>2413</v>
      </c>
      <c r="B42" s="88"/>
      <c r="C42" s="72" t="s">
        <v>400</v>
      </c>
      <c r="D42" s="72">
        <v>0.5</v>
      </c>
    </row>
    <row r="43" spans="1:4" s="73" customFormat="1" ht="15" customHeight="1">
      <c r="A43" s="87" t="s">
        <v>453</v>
      </c>
      <c r="B43" s="88"/>
      <c r="C43" s="72" t="s">
        <v>454</v>
      </c>
      <c r="D43" s="72">
        <v>0.6</v>
      </c>
    </row>
    <row r="44" spans="1:4" s="73" customFormat="1" ht="15" customHeight="1">
      <c r="A44" s="87" t="s">
        <v>455</v>
      </c>
      <c r="B44" s="88"/>
      <c r="C44" s="72" t="s">
        <v>400</v>
      </c>
      <c r="D44" s="72">
        <v>0.3</v>
      </c>
    </row>
    <row r="45" spans="1:4" s="73" customFormat="1" ht="15" customHeight="1">
      <c r="A45" s="87" t="s">
        <v>491</v>
      </c>
      <c r="B45" s="88"/>
      <c r="C45" s="72" t="s">
        <v>371</v>
      </c>
      <c r="D45" s="72">
        <v>2.7</v>
      </c>
    </row>
    <row r="46" spans="1:4" s="73" customFormat="1" ht="15" customHeight="1">
      <c r="A46" s="202" t="s">
        <v>525</v>
      </c>
      <c r="B46" s="254"/>
      <c r="C46" s="72" t="s">
        <v>526</v>
      </c>
      <c r="D46" s="72">
        <v>2.8</v>
      </c>
    </row>
    <row r="47" spans="1:4" s="73" customFormat="1" ht="15">
      <c r="A47" s="87" t="s">
        <v>773</v>
      </c>
      <c r="B47" s="93"/>
      <c r="C47" s="72" t="s">
        <v>784</v>
      </c>
      <c r="D47" s="72">
        <v>2</v>
      </c>
    </row>
    <row r="48" spans="1:4" s="73" customFormat="1" ht="15">
      <c r="A48" s="87" t="s">
        <v>2417</v>
      </c>
      <c r="B48" s="93"/>
      <c r="C48" s="72" t="s">
        <v>2418</v>
      </c>
      <c r="D48" s="72">
        <v>3</v>
      </c>
    </row>
    <row r="49" spans="1:4" ht="15" customHeight="1">
      <c r="A49" s="64" t="s">
        <v>86</v>
      </c>
      <c r="B49" s="65"/>
      <c r="C49" s="77"/>
      <c r="D49" s="77"/>
    </row>
    <row r="50" spans="1:4" ht="15" customHeight="1">
      <c r="A50" s="68" t="s">
        <v>88</v>
      </c>
      <c r="B50" s="69"/>
      <c r="C50" s="77"/>
      <c r="D50" s="77"/>
    </row>
    <row r="51" spans="1:4" ht="15">
      <c r="A51" s="390" t="s">
        <v>90</v>
      </c>
      <c r="B51" s="391"/>
      <c r="C51" s="77"/>
      <c r="D51" s="77"/>
    </row>
    <row r="52" spans="1:4" ht="28.5">
      <c r="A52" s="327" t="s">
        <v>2388</v>
      </c>
      <c r="B52" s="91"/>
      <c r="C52" s="72" t="s">
        <v>2389</v>
      </c>
      <c r="D52" s="72">
        <f>1*130</f>
        <v>130</v>
      </c>
    </row>
    <row r="53" spans="1:4" s="94" customFormat="1" ht="28.5">
      <c r="A53" s="312" t="s">
        <v>2390</v>
      </c>
      <c r="B53" s="116"/>
      <c r="C53" s="72" t="s">
        <v>1324</v>
      </c>
      <c r="D53" s="72">
        <f>6.5*130*2</f>
        <v>1690</v>
      </c>
    </row>
    <row r="54" spans="1:4" ht="15">
      <c r="A54" s="327" t="s">
        <v>1736</v>
      </c>
      <c r="B54" s="91"/>
      <c r="C54" s="72" t="s">
        <v>279</v>
      </c>
      <c r="D54" s="72">
        <f>130*0.5</f>
        <v>65</v>
      </c>
    </row>
    <row r="55" spans="1:4" ht="15">
      <c r="A55" s="327" t="s">
        <v>791</v>
      </c>
      <c r="B55" s="91"/>
      <c r="C55" s="72" t="s">
        <v>360</v>
      </c>
      <c r="D55" s="72">
        <f>0.4*130</f>
        <v>52</v>
      </c>
    </row>
    <row r="56" spans="1:4" ht="15">
      <c r="A56" s="327" t="s">
        <v>1737</v>
      </c>
      <c r="B56" s="91"/>
      <c r="C56" s="72" t="s">
        <v>279</v>
      </c>
      <c r="D56" s="72">
        <f>130*0.5</f>
        <v>65</v>
      </c>
    </row>
    <row r="57" spans="1:4" ht="15.75" thickBot="1">
      <c r="A57" s="327" t="s">
        <v>803</v>
      </c>
      <c r="B57" s="91"/>
      <c r="C57" s="72"/>
      <c r="D57" s="72">
        <v>667.3</v>
      </c>
    </row>
    <row r="58" spans="1:4" ht="28.5" customHeight="1" thickBot="1">
      <c r="A58" s="405" t="s">
        <v>2391</v>
      </c>
      <c r="B58" s="406"/>
      <c r="C58" s="72"/>
      <c r="D58" s="72">
        <f>612.7+130*4</f>
        <v>1132.7</v>
      </c>
    </row>
    <row r="59" spans="1:4" ht="15">
      <c r="A59" s="327" t="s">
        <v>2394</v>
      </c>
      <c r="B59" s="91"/>
      <c r="C59" s="72" t="s">
        <v>1786</v>
      </c>
      <c r="D59" s="72">
        <f>130*2*2</f>
        <v>520</v>
      </c>
    </row>
    <row r="60" spans="1:4" ht="15">
      <c r="A60" s="327" t="s">
        <v>2395</v>
      </c>
      <c r="B60" s="91"/>
      <c r="C60" s="72" t="s">
        <v>850</v>
      </c>
      <c r="D60" s="72">
        <f>2*130*2</f>
        <v>520</v>
      </c>
    </row>
    <row r="61" spans="1:4" ht="15">
      <c r="A61" s="328" t="s">
        <v>822</v>
      </c>
      <c r="B61" s="253"/>
      <c r="C61" s="72" t="s">
        <v>279</v>
      </c>
      <c r="D61" s="72">
        <f>130*0.5</f>
        <v>65</v>
      </c>
    </row>
    <row r="62" spans="1:4" ht="28.5">
      <c r="A62" s="327" t="s">
        <v>2396</v>
      </c>
      <c r="B62" s="91"/>
      <c r="C62" s="72" t="s">
        <v>279</v>
      </c>
      <c r="D62" s="72">
        <v>130</v>
      </c>
    </row>
    <row r="63" spans="1:4" ht="30">
      <c r="A63" s="327" t="s">
        <v>2397</v>
      </c>
      <c r="B63" s="91"/>
      <c r="C63" s="105" t="s">
        <v>616</v>
      </c>
      <c r="D63" s="72">
        <f>3*130</f>
        <v>390</v>
      </c>
    </row>
    <row r="64" spans="1:4" ht="15">
      <c r="A64" s="330" t="s">
        <v>2398</v>
      </c>
      <c r="B64" s="91"/>
      <c r="C64" s="72" t="s">
        <v>342</v>
      </c>
      <c r="D64" s="72">
        <f>130*1.5</f>
        <v>195</v>
      </c>
    </row>
    <row r="65" spans="1:4" ht="15">
      <c r="A65" s="327" t="s">
        <v>1885</v>
      </c>
      <c r="B65" s="91"/>
      <c r="C65" s="72" t="s">
        <v>279</v>
      </c>
      <c r="D65" s="72">
        <f>0.5*65</f>
        <v>32.5</v>
      </c>
    </row>
    <row r="66" spans="1:4" ht="15" customHeight="1">
      <c r="A66" s="401" t="s">
        <v>2404</v>
      </c>
      <c r="B66" s="402"/>
      <c r="C66" s="181" t="s">
        <v>279</v>
      </c>
      <c r="D66" s="199">
        <v>0.5</v>
      </c>
    </row>
    <row r="67" spans="1:4" s="73" customFormat="1" ht="15" customHeight="1">
      <c r="A67" s="401" t="s">
        <v>479</v>
      </c>
      <c r="B67" s="402"/>
      <c r="C67" s="72" t="s">
        <v>401</v>
      </c>
      <c r="D67" s="72">
        <v>2</v>
      </c>
    </row>
    <row r="68" spans="1:4" s="73" customFormat="1" ht="29.25" customHeight="1">
      <c r="A68" s="402" t="s">
        <v>480</v>
      </c>
      <c r="B68" s="413"/>
      <c r="C68" s="72" t="s">
        <v>481</v>
      </c>
      <c r="D68" s="72">
        <v>2</v>
      </c>
    </row>
    <row r="69" spans="1:4" s="73" customFormat="1" ht="30.75" customHeight="1">
      <c r="A69" s="402" t="s">
        <v>501</v>
      </c>
      <c r="B69" s="413"/>
      <c r="C69" s="72" t="s">
        <v>497</v>
      </c>
      <c r="D69" s="72">
        <v>1</v>
      </c>
    </row>
    <row r="70" spans="1:4" s="73" customFormat="1" ht="18" customHeight="1">
      <c r="A70" s="321" t="s">
        <v>512</v>
      </c>
      <c r="B70" s="322"/>
      <c r="C70" s="72" t="s">
        <v>471</v>
      </c>
      <c r="D70" s="72">
        <v>1</v>
      </c>
    </row>
    <row r="71" spans="1:4" s="73" customFormat="1" ht="17.25" customHeight="1">
      <c r="A71" s="401" t="s">
        <v>1821</v>
      </c>
      <c r="B71" s="402"/>
      <c r="C71" s="72" t="s">
        <v>1822</v>
      </c>
      <c r="D71" s="72">
        <v>1</v>
      </c>
    </row>
    <row r="72" spans="1:4" s="73" customFormat="1" ht="17.25" customHeight="1">
      <c r="A72" s="401" t="s">
        <v>2427</v>
      </c>
      <c r="B72" s="402"/>
      <c r="C72" s="72" t="s">
        <v>2428</v>
      </c>
      <c r="D72" s="72">
        <v>14</v>
      </c>
    </row>
    <row r="73" spans="1:4" s="73" customFormat="1" ht="17.25" customHeight="1">
      <c r="A73" s="402" t="s">
        <v>2429</v>
      </c>
      <c r="B73" s="413"/>
      <c r="C73" s="72" t="s">
        <v>2430</v>
      </c>
      <c r="D73" s="72">
        <v>3</v>
      </c>
    </row>
    <row r="74" spans="1:4" s="73" customFormat="1" ht="21.75" customHeight="1">
      <c r="A74" s="402" t="s">
        <v>2431</v>
      </c>
      <c r="B74" s="413"/>
      <c r="C74" s="72" t="s">
        <v>2432</v>
      </c>
      <c r="D74" s="72">
        <v>18</v>
      </c>
    </row>
    <row r="75" spans="1:4" s="73" customFormat="1" ht="29.25" customHeight="1">
      <c r="A75" s="312" t="s">
        <v>1941</v>
      </c>
      <c r="B75" s="318"/>
      <c r="C75" s="72" t="s">
        <v>390</v>
      </c>
      <c r="D75" s="72">
        <v>3</v>
      </c>
    </row>
    <row r="76" spans="1:4" s="73" customFormat="1" ht="18.75" customHeight="1">
      <c r="A76" s="321" t="s">
        <v>2433</v>
      </c>
      <c r="B76" s="322"/>
      <c r="C76" s="72" t="s">
        <v>613</v>
      </c>
      <c r="D76" s="72">
        <v>1</v>
      </c>
    </row>
    <row r="77" spans="1:4" s="73" customFormat="1" ht="33" customHeight="1">
      <c r="A77" s="321" t="s">
        <v>905</v>
      </c>
      <c r="B77" s="322"/>
      <c r="C77" s="105" t="s">
        <v>906</v>
      </c>
      <c r="D77" s="72">
        <v>1.2</v>
      </c>
    </row>
    <row r="78" spans="1:4" s="73" customFormat="1" ht="33" customHeight="1">
      <c r="A78" s="321" t="s">
        <v>2434</v>
      </c>
      <c r="B78" s="322"/>
      <c r="C78" s="105" t="s">
        <v>748</v>
      </c>
      <c r="D78" s="72">
        <v>14</v>
      </c>
    </row>
    <row r="79" spans="1:4" s="73" customFormat="1" ht="15" customHeight="1">
      <c r="A79" s="321" t="s">
        <v>2435</v>
      </c>
      <c r="B79" s="322"/>
      <c r="C79" s="105" t="s">
        <v>358</v>
      </c>
      <c r="D79" s="72">
        <v>10</v>
      </c>
    </row>
    <row r="80" spans="1:4" s="73" customFormat="1" ht="15" customHeight="1">
      <c r="A80" s="321" t="s">
        <v>2436</v>
      </c>
      <c r="B80" s="322"/>
      <c r="C80" s="105" t="s">
        <v>1911</v>
      </c>
      <c r="D80" s="72">
        <v>19</v>
      </c>
    </row>
    <row r="81" spans="1:4" s="73" customFormat="1" ht="15">
      <c r="A81" s="402" t="s">
        <v>907</v>
      </c>
      <c r="B81" s="413"/>
      <c r="C81" s="72" t="s">
        <v>908</v>
      </c>
      <c r="D81" s="72">
        <v>2.25</v>
      </c>
    </row>
    <row r="82" spans="1:4" s="73" customFormat="1" ht="15">
      <c r="A82" s="312" t="s">
        <v>2437</v>
      </c>
      <c r="B82" s="116"/>
      <c r="C82" s="72" t="s">
        <v>358</v>
      </c>
      <c r="D82" s="72">
        <v>15</v>
      </c>
    </row>
    <row r="83" spans="1:4" s="73" customFormat="1" ht="28.5">
      <c r="A83" s="312" t="s">
        <v>2438</v>
      </c>
      <c r="B83" s="116"/>
      <c r="C83" s="72" t="s">
        <v>2418</v>
      </c>
      <c r="D83" s="72">
        <v>2</v>
      </c>
    </row>
    <row r="84" spans="1:4" s="73" customFormat="1" ht="15">
      <c r="A84" s="312" t="s">
        <v>2439</v>
      </c>
      <c r="B84" s="116"/>
      <c r="C84" s="72" t="s">
        <v>358</v>
      </c>
      <c r="D84" s="72">
        <v>15</v>
      </c>
    </row>
    <row r="85" spans="1:4" s="73" customFormat="1" ht="15">
      <c r="A85" s="312" t="s">
        <v>2440</v>
      </c>
      <c r="B85" s="116"/>
      <c r="C85" s="72" t="s">
        <v>2087</v>
      </c>
      <c r="D85" s="72">
        <v>12</v>
      </c>
    </row>
    <row r="86" spans="1:4" s="73" customFormat="1" ht="15">
      <c r="A86" s="312" t="s">
        <v>2441</v>
      </c>
      <c r="B86" s="116"/>
      <c r="C86" s="72" t="s">
        <v>2087</v>
      </c>
      <c r="D86" s="72">
        <v>6</v>
      </c>
    </row>
    <row r="87" spans="1:4" s="73" customFormat="1" ht="28.5">
      <c r="A87" s="312" t="s">
        <v>2442</v>
      </c>
      <c r="B87" s="116"/>
      <c r="C87" s="72" t="s">
        <v>433</v>
      </c>
      <c r="D87" s="72">
        <v>3</v>
      </c>
    </row>
    <row r="88" spans="1:4" s="73" customFormat="1" ht="28.5">
      <c r="A88" s="312" t="s">
        <v>2443</v>
      </c>
      <c r="B88" s="116"/>
      <c r="C88" s="72" t="s">
        <v>2444</v>
      </c>
      <c r="D88" s="72">
        <v>2</v>
      </c>
    </row>
    <row r="89" spans="1:4" s="73" customFormat="1" ht="43.5" customHeight="1">
      <c r="A89" s="401" t="s">
        <v>2451</v>
      </c>
      <c r="B89" s="402"/>
      <c r="C89" s="72" t="s">
        <v>433</v>
      </c>
      <c r="D89" s="72">
        <v>2</v>
      </c>
    </row>
    <row r="90" spans="1:4" s="73" customFormat="1" ht="29.25" customHeight="1">
      <c r="A90" s="312" t="s">
        <v>1307</v>
      </c>
      <c r="B90" s="318"/>
      <c r="C90" s="105" t="s">
        <v>1308</v>
      </c>
      <c r="D90" s="72">
        <v>1.8</v>
      </c>
    </row>
    <row r="91" spans="1:4" s="73" customFormat="1" ht="18" customHeight="1">
      <c r="A91" s="312" t="s">
        <v>1089</v>
      </c>
      <c r="B91" s="318"/>
      <c r="C91" s="72" t="s">
        <v>1090</v>
      </c>
      <c r="D91" s="72">
        <v>1.5</v>
      </c>
    </row>
    <row r="92" spans="1:4" s="73" customFormat="1" ht="18.75" customHeight="1">
      <c r="A92" s="321" t="s">
        <v>1310</v>
      </c>
      <c r="B92" s="322"/>
      <c r="C92" s="105" t="s">
        <v>1311</v>
      </c>
      <c r="D92" s="72">
        <v>3.4</v>
      </c>
    </row>
    <row r="93" spans="1:4" s="73" customFormat="1" ht="15.75" thickBot="1">
      <c r="A93" s="402" t="s">
        <v>1093</v>
      </c>
      <c r="B93" s="413"/>
      <c r="C93" s="72" t="s">
        <v>1094</v>
      </c>
      <c r="D93" s="72">
        <v>1.1</v>
      </c>
    </row>
    <row r="94" spans="1:4" ht="15.75" thickBot="1">
      <c r="A94" s="377" t="s">
        <v>99</v>
      </c>
      <c r="B94" s="378"/>
      <c r="C94" s="77"/>
      <c r="D94" s="77"/>
    </row>
    <row r="95" spans="1:4" ht="30.75" customHeight="1" thickBot="1">
      <c r="A95" s="501" t="s">
        <v>307</v>
      </c>
      <c r="B95" s="502"/>
      <c r="C95" s="78" t="s">
        <v>424</v>
      </c>
      <c r="D95" s="80" t="s">
        <v>425</v>
      </c>
    </row>
    <row r="96" spans="1:4" ht="15.75" thickBot="1">
      <c r="A96" s="377" t="s">
        <v>101</v>
      </c>
      <c r="B96" s="378"/>
      <c r="C96" s="77"/>
      <c r="D96" s="77"/>
    </row>
    <row r="97" spans="1:4" ht="15.75" thickBot="1">
      <c r="A97" s="443" t="s">
        <v>102</v>
      </c>
      <c r="B97" s="375"/>
      <c r="C97" s="77" t="s">
        <v>243</v>
      </c>
      <c r="D97" s="77"/>
    </row>
    <row r="98" spans="1:4" ht="15">
      <c r="A98" s="327" t="s">
        <v>2399</v>
      </c>
      <c r="B98" s="325"/>
      <c r="C98" s="72" t="s">
        <v>243</v>
      </c>
      <c r="D98" s="72">
        <f>2*130</f>
        <v>260</v>
      </c>
    </row>
    <row r="99" spans="1:4" ht="15">
      <c r="A99" s="327" t="s">
        <v>2405</v>
      </c>
      <c r="B99" s="135"/>
      <c r="C99" s="199"/>
      <c r="D99" s="199">
        <v>1</v>
      </c>
    </row>
    <row r="100" spans="1:4" ht="15">
      <c r="A100" s="327" t="s">
        <v>2406</v>
      </c>
      <c r="B100" s="135"/>
      <c r="C100" s="199"/>
      <c r="D100" s="199">
        <v>0.5</v>
      </c>
    </row>
    <row r="101" spans="1:4" ht="15">
      <c r="A101" s="327" t="s">
        <v>2407</v>
      </c>
      <c r="B101" s="135"/>
      <c r="C101" s="199"/>
      <c r="D101" s="199">
        <v>1.5</v>
      </c>
    </row>
    <row r="102" spans="1:4" ht="15">
      <c r="A102" s="327" t="s">
        <v>269</v>
      </c>
      <c r="B102" s="135"/>
      <c r="C102" s="199"/>
      <c r="D102" s="199">
        <v>1</v>
      </c>
    </row>
    <row r="103" spans="1:4" s="73" customFormat="1" ht="15">
      <c r="A103" s="327" t="s">
        <v>2411</v>
      </c>
      <c r="B103" s="91"/>
      <c r="C103" s="72" t="s">
        <v>243</v>
      </c>
      <c r="D103" s="72">
        <v>2</v>
      </c>
    </row>
    <row r="104" spans="1:4" s="73" customFormat="1" ht="15">
      <c r="A104" s="90" t="s">
        <v>742</v>
      </c>
      <c r="B104" s="91"/>
      <c r="C104" s="72" t="s">
        <v>243</v>
      </c>
      <c r="D104" s="72">
        <v>1</v>
      </c>
    </row>
    <row r="105" spans="1:4" s="73" customFormat="1" ht="28.5">
      <c r="A105" s="327" t="s">
        <v>2414</v>
      </c>
      <c r="B105" s="91"/>
      <c r="C105" s="72" t="s">
        <v>243</v>
      </c>
      <c r="D105" s="72">
        <v>1</v>
      </c>
    </row>
    <row r="106" spans="1:4" s="73" customFormat="1" ht="22.5" customHeight="1">
      <c r="A106" s="327" t="s">
        <v>2415</v>
      </c>
      <c r="B106" s="91"/>
      <c r="C106" s="72" t="s">
        <v>243</v>
      </c>
      <c r="D106" s="72">
        <v>1.5</v>
      </c>
    </row>
    <row r="107" spans="1:4" s="73" customFormat="1" ht="27.75" customHeight="1">
      <c r="A107" s="327" t="s">
        <v>509</v>
      </c>
      <c r="B107" s="91"/>
      <c r="C107" s="72" t="s">
        <v>243</v>
      </c>
      <c r="D107" s="72">
        <v>5</v>
      </c>
    </row>
    <row r="108" spans="1:4" s="73" customFormat="1" ht="15">
      <c r="A108" s="327" t="s">
        <v>2416</v>
      </c>
      <c r="B108" s="91"/>
      <c r="C108" s="72" t="s">
        <v>243</v>
      </c>
      <c r="D108" s="72">
        <v>2</v>
      </c>
    </row>
    <row r="109" spans="1:4" s="73" customFormat="1" ht="22.5" customHeight="1">
      <c r="A109" s="327" t="s">
        <v>581</v>
      </c>
      <c r="B109" s="91"/>
      <c r="C109" s="72" t="s">
        <v>243</v>
      </c>
      <c r="D109" s="72">
        <v>0.5</v>
      </c>
    </row>
    <row r="110" spans="1:4" s="73" customFormat="1" ht="15">
      <c r="A110" s="327" t="s">
        <v>742</v>
      </c>
      <c r="B110" s="91"/>
      <c r="C110" s="72" t="s">
        <v>243</v>
      </c>
      <c r="D110" s="72">
        <v>1</v>
      </c>
    </row>
    <row r="111" spans="1:4" s="73" customFormat="1" ht="15">
      <c r="A111" s="327" t="s">
        <v>2419</v>
      </c>
      <c r="B111" s="91"/>
      <c r="C111" s="72" t="s">
        <v>243</v>
      </c>
      <c r="D111" s="72">
        <v>1</v>
      </c>
    </row>
    <row r="112" spans="1:4" s="73" customFormat="1" ht="22.5" customHeight="1">
      <c r="A112" s="327" t="s">
        <v>2420</v>
      </c>
      <c r="B112" s="91"/>
      <c r="C112" s="72" t="s">
        <v>243</v>
      </c>
      <c r="D112" s="72">
        <v>8</v>
      </c>
    </row>
    <row r="113" spans="1:4" s="73" customFormat="1" ht="15">
      <c r="A113" s="327" t="s">
        <v>2421</v>
      </c>
      <c r="B113" s="91"/>
      <c r="C113" s="72" t="s">
        <v>243</v>
      </c>
      <c r="D113" s="72">
        <v>1</v>
      </c>
    </row>
    <row r="114" spans="1:4" s="73" customFormat="1" ht="15">
      <c r="A114" s="327" t="s">
        <v>2422</v>
      </c>
      <c r="B114" s="91"/>
      <c r="C114" s="72" t="s">
        <v>243</v>
      </c>
      <c r="D114" s="72">
        <v>2</v>
      </c>
    </row>
    <row r="115" spans="1:4" s="73" customFormat="1" ht="15">
      <c r="A115" s="327" t="s">
        <v>2425</v>
      </c>
      <c r="B115" s="91"/>
      <c r="C115" s="72" t="s">
        <v>243</v>
      </c>
      <c r="D115" s="72">
        <v>1</v>
      </c>
    </row>
    <row r="116" spans="1:4" s="73" customFormat="1" ht="18.75" customHeight="1">
      <c r="A116" s="327" t="s">
        <v>2426</v>
      </c>
      <c r="B116" s="91"/>
      <c r="C116" s="72" t="s">
        <v>243</v>
      </c>
      <c r="D116" s="72">
        <v>2</v>
      </c>
    </row>
    <row r="117" spans="1:4" s="73" customFormat="1" ht="15">
      <c r="A117" s="327" t="s">
        <v>2445</v>
      </c>
      <c r="B117" s="91"/>
      <c r="C117" s="72" t="s">
        <v>243</v>
      </c>
      <c r="D117" s="72">
        <v>1.5</v>
      </c>
    </row>
    <row r="118" spans="1:4" s="94" customFormat="1" ht="15">
      <c r="A118" s="337" t="s">
        <v>2446</v>
      </c>
      <c r="B118" s="338"/>
      <c r="C118" s="199" t="s">
        <v>243</v>
      </c>
      <c r="D118" s="199">
        <v>1</v>
      </c>
    </row>
    <row r="119" spans="1:4" s="94" customFormat="1" ht="18.75" customHeight="1">
      <c r="A119" s="337" t="s">
        <v>2447</v>
      </c>
      <c r="B119" s="338"/>
      <c r="C119" s="199" t="s">
        <v>243</v>
      </c>
      <c r="D119" s="199">
        <v>3</v>
      </c>
    </row>
    <row r="120" spans="1:4" s="73" customFormat="1" ht="28.5">
      <c r="A120" s="327" t="s">
        <v>2448</v>
      </c>
      <c r="B120" s="91"/>
      <c r="C120" s="72" t="s">
        <v>243</v>
      </c>
      <c r="D120" s="72">
        <v>2</v>
      </c>
    </row>
    <row r="121" spans="1:4" s="73" customFormat="1" ht="15">
      <c r="A121" s="327" t="s">
        <v>2449</v>
      </c>
      <c r="B121" s="91"/>
      <c r="C121" s="72" t="s">
        <v>243</v>
      </c>
      <c r="D121" s="72">
        <v>2</v>
      </c>
    </row>
    <row r="122" spans="1:4" s="73" customFormat="1" ht="18" customHeight="1">
      <c r="A122" s="327" t="s">
        <v>2452</v>
      </c>
      <c r="B122" s="91"/>
      <c r="C122" s="72" t="s">
        <v>243</v>
      </c>
      <c r="D122" s="72">
        <v>3.5</v>
      </c>
    </row>
    <row r="123" spans="1:4" ht="15.75" thickBot="1">
      <c r="A123" s="395" t="s">
        <v>103</v>
      </c>
      <c r="B123" s="396"/>
      <c r="C123" s="77"/>
      <c r="D123" s="77"/>
    </row>
    <row r="124" spans="1:4" ht="15.75" thickBot="1">
      <c r="A124" s="397" t="s">
        <v>104</v>
      </c>
      <c r="B124" s="398"/>
      <c r="C124" s="77"/>
      <c r="D124" s="77"/>
    </row>
    <row r="125" spans="1:4" ht="15">
      <c r="A125" s="79"/>
      <c r="B125" s="79"/>
      <c r="C125" s="76"/>
      <c r="D125" s="76"/>
    </row>
    <row r="126" spans="1:4" ht="15.75">
      <c r="A126" s="394" t="s">
        <v>233</v>
      </c>
      <c r="B126" s="394"/>
      <c r="C126" s="394"/>
      <c r="D126" s="394"/>
    </row>
    <row r="127" spans="1:4" ht="15">
      <c r="A127" s="76"/>
      <c r="B127" s="76"/>
      <c r="C127" s="76"/>
      <c r="D127" s="76"/>
    </row>
    <row r="128" spans="1:4" ht="15.75">
      <c r="A128" s="394" t="s">
        <v>234</v>
      </c>
      <c r="B128" s="394"/>
      <c r="C128" s="394"/>
      <c r="D128" s="394"/>
    </row>
  </sheetData>
  <sheetProtection/>
  <mergeCells count="49">
    <mergeCell ref="A126:D126"/>
    <mergeCell ref="A128:D128"/>
    <mergeCell ref="A67:B67"/>
    <mergeCell ref="A68:B68"/>
    <mergeCell ref="A94:B94"/>
    <mergeCell ref="A95:B95"/>
    <mergeCell ref="A96:B96"/>
    <mergeCell ref="A97:B97"/>
    <mergeCell ref="A123:B123"/>
    <mergeCell ref="A124:B124"/>
    <mergeCell ref="A71:B71"/>
    <mergeCell ref="A72:B72"/>
    <mergeCell ref="A73:B73"/>
    <mergeCell ref="A74:B74"/>
    <mergeCell ref="A81:B81"/>
    <mergeCell ref="A89:B89"/>
    <mergeCell ref="A12:B12"/>
    <mergeCell ref="A14:B14"/>
    <mergeCell ref="A15:B15"/>
    <mergeCell ref="A58:B58"/>
    <mergeCell ref="A25:B25"/>
    <mergeCell ref="A26:B26"/>
    <mergeCell ref="A27:B27"/>
    <mergeCell ref="A33:B33"/>
    <mergeCell ref="A34:B34"/>
    <mergeCell ref="A35:B35"/>
    <mergeCell ref="A36:B36"/>
    <mergeCell ref="A51:B51"/>
    <mergeCell ref="A20:B20"/>
    <mergeCell ref="A21:B21"/>
    <mergeCell ref="A7:B7"/>
    <mergeCell ref="A8:B8"/>
    <mergeCell ref="A9:B9"/>
    <mergeCell ref="A10:B10"/>
    <mergeCell ref="A11:B11"/>
    <mergeCell ref="A1:D1"/>
    <mergeCell ref="A2:D2"/>
    <mergeCell ref="A3:D3"/>
    <mergeCell ref="A5:B5"/>
    <mergeCell ref="A6:B6"/>
    <mergeCell ref="A93:B93"/>
    <mergeCell ref="A66:B66"/>
    <mergeCell ref="A23:B23"/>
    <mergeCell ref="A24:B24"/>
    <mergeCell ref="A69:B69"/>
    <mergeCell ref="A28:B28"/>
    <mergeCell ref="A30:B30"/>
    <mergeCell ref="A31:B31"/>
    <mergeCell ref="A32:B32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E197"/>
  <sheetViews>
    <sheetView zoomScalePageLayoutView="0" workbookViewId="0" topLeftCell="A172">
      <selection activeCell="A181" sqref="A181:IV186"/>
    </sheetView>
  </sheetViews>
  <sheetFormatPr defaultColWidth="9.140625" defaultRowHeight="15"/>
  <cols>
    <col min="1" max="1" width="80.8515625" style="0" customWidth="1"/>
    <col min="2" max="2" width="3.28125" style="0" hidden="1" customWidth="1"/>
    <col min="3" max="3" width="24.7109375" style="0" customWidth="1"/>
  </cols>
  <sheetData>
    <row r="1" spans="1:4" ht="15.75">
      <c r="A1" s="381" t="s">
        <v>230</v>
      </c>
      <c r="B1" s="381"/>
      <c r="C1" s="381"/>
      <c r="D1" s="381"/>
    </row>
    <row r="2" spans="1:4" ht="15.75">
      <c r="A2" s="382" t="s">
        <v>244</v>
      </c>
      <c r="B2" s="382"/>
      <c r="C2" s="382"/>
      <c r="D2" s="382"/>
    </row>
    <row r="3" spans="1:4" s="55" customFormat="1" ht="15.75">
      <c r="A3" s="382" t="s">
        <v>2453</v>
      </c>
      <c r="B3" s="382"/>
      <c r="C3" s="382"/>
      <c r="D3" s="382"/>
    </row>
    <row r="4" spans="1:4" s="55" customFormat="1" ht="15.75">
      <c r="A4" s="96"/>
      <c r="B4" s="96"/>
      <c r="C4" s="89"/>
      <c r="D4" s="89"/>
    </row>
    <row r="5" spans="1:4" ht="30">
      <c r="A5" s="383" t="s">
        <v>229</v>
      </c>
      <c r="B5" s="384"/>
      <c r="C5" s="86" t="s">
        <v>240</v>
      </c>
      <c r="D5" s="85" t="s">
        <v>530</v>
      </c>
    </row>
    <row r="6" spans="1:4" ht="15">
      <c r="A6" s="548" t="s">
        <v>229</v>
      </c>
      <c r="B6" s="548"/>
      <c r="C6" s="72"/>
      <c r="D6" s="72"/>
    </row>
    <row r="7" spans="1:4" ht="15">
      <c r="A7" s="549" t="s">
        <v>0</v>
      </c>
      <c r="B7" s="549"/>
      <c r="C7" s="109"/>
      <c r="D7" s="109"/>
    </row>
    <row r="8" spans="1:4" ht="15">
      <c r="A8" s="550" t="s">
        <v>24</v>
      </c>
      <c r="B8" s="551"/>
      <c r="C8" s="160"/>
      <c r="D8" s="160"/>
    </row>
    <row r="9" spans="1:4" ht="15">
      <c r="A9" s="474" t="s">
        <v>647</v>
      </c>
      <c r="B9" s="475"/>
      <c r="C9" s="109"/>
      <c r="D9" s="109"/>
    </row>
    <row r="10" spans="1:4" ht="15.75" thickBot="1">
      <c r="A10" s="476" t="s">
        <v>28</v>
      </c>
      <c r="B10" s="477"/>
      <c r="C10" s="109"/>
      <c r="D10" s="109"/>
    </row>
    <row r="11" spans="1:4" ht="15.75" thickBot="1">
      <c r="A11" s="478" t="s">
        <v>29</v>
      </c>
      <c r="B11" s="479"/>
      <c r="C11" s="109"/>
      <c r="D11" s="109"/>
    </row>
    <row r="12" spans="1:4" ht="15">
      <c r="A12" s="480" t="s">
        <v>45</v>
      </c>
      <c r="B12" s="481"/>
      <c r="C12" s="109"/>
      <c r="D12" s="109"/>
    </row>
    <row r="13" spans="1:4" ht="15.75" thickBot="1">
      <c r="A13" s="72" t="s">
        <v>788</v>
      </c>
      <c r="B13" s="72"/>
      <c r="C13" s="72"/>
      <c r="D13" s="72">
        <v>148.73</v>
      </c>
    </row>
    <row r="14" spans="1:4" ht="15.75" thickBot="1">
      <c r="A14" s="485" t="s">
        <v>56</v>
      </c>
      <c r="B14" s="490"/>
      <c r="C14" s="109"/>
      <c r="D14" s="109"/>
    </row>
    <row r="15" spans="1:4" ht="15.75" thickBot="1">
      <c r="A15" s="478" t="s">
        <v>57</v>
      </c>
      <c r="B15" s="479"/>
      <c r="C15" s="109"/>
      <c r="D15" s="109"/>
    </row>
    <row r="16" spans="1:4" ht="15.75" thickBot="1">
      <c r="A16" s="326" t="s">
        <v>1730</v>
      </c>
      <c r="B16" s="317"/>
      <c r="C16" s="72" t="s">
        <v>400</v>
      </c>
      <c r="D16" s="72">
        <f>0.4*130</f>
        <v>52</v>
      </c>
    </row>
    <row r="17" spans="1:4" ht="15.75" thickBot="1">
      <c r="A17" s="326" t="s">
        <v>2454</v>
      </c>
      <c r="B17" s="317"/>
      <c r="C17" s="72" t="s">
        <v>279</v>
      </c>
      <c r="D17" s="72">
        <f>4*130</f>
        <v>520</v>
      </c>
    </row>
    <row r="18" spans="1:4" ht="15.75" thickBot="1">
      <c r="A18" s="193" t="s">
        <v>2160</v>
      </c>
      <c r="B18" s="306"/>
      <c r="C18" s="72" t="s">
        <v>360</v>
      </c>
      <c r="D18" s="72">
        <f>0.5*130</f>
        <v>65</v>
      </c>
    </row>
    <row r="19" spans="1:4" ht="15.75" thickBot="1">
      <c r="A19" s="330" t="s">
        <v>2476</v>
      </c>
      <c r="B19" s="317"/>
      <c r="C19" s="72" t="s">
        <v>823</v>
      </c>
      <c r="D19" s="72">
        <f>130*2*3+175</f>
        <v>955</v>
      </c>
    </row>
    <row r="20" spans="1:4" ht="15">
      <c r="A20" s="399" t="s">
        <v>2400</v>
      </c>
      <c r="B20" s="400"/>
      <c r="C20" s="181" t="s">
        <v>328</v>
      </c>
      <c r="D20" s="199">
        <v>2</v>
      </c>
    </row>
    <row r="21" spans="1:4" ht="15" customHeight="1">
      <c r="A21" s="399" t="s">
        <v>1230</v>
      </c>
      <c r="B21" s="400"/>
      <c r="C21" s="181" t="s">
        <v>359</v>
      </c>
      <c r="D21" s="199">
        <f>1.2+1.2</f>
        <v>2.4</v>
      </c>
    </row>
    <row r="22" spans="1:4" ht="15">
      <c r="A22" s="400" t="s">
        <v>1231</v>
      </c>
      <c r="B22" s="448"/>
      <c r="C22" s="181" t="s">
        <v>390</v>
      </c>
      <c r="D22" s="199">
        <v>2</v>
      </c>
    </row>
    <row r="23" spans="1:5" ht="15">
      <c r="A23" s="399" t="s">
        <v>2409</v>
      </c>
      <c r="B23" s="400"/>
      <c r="C23" s="77"/>
      <c r="D23" s="72" t="s">
        <v>400</v>
      </c>
      <c r="E23" s="72">
        <v>0.8</v>
      </c>
    </row>
    <row r="24" spans="1:4" s="73" customFormat="1" ht="15">
      <c r="A24" s="399" t="s">
        <v>2412</v>
      </c>
      <c r="B24" s="400"/>
      <c r="C24" s="72" t="s">
        <v>468</v>
      </c>
      <c r="D24" s="72">
        <v>4</v>
      </c>
    </row>
    <row r="25" spans="1:4" s="73" customFormat="1" ht="15" customHeight="1">
      <c r="A25" s="400" t="s">
        <v>517</v>
      </c>
      <c r="B25" s="448"/>
      <c r="C25" s="72" t="s">
        <v>518</v>
      </c>
      <c r="D25" s="72">
        <v>1.7</v>
      </c>
    </row>
    <row r="26" spans="1:4" s="73" customFormat="1" ht="15">
      <c r="A26" s="399" t="s">
        <v>556</v>
      </c>
      <c r="B26" s="400"/>
      <c r="C26" s="72" t="s">
        <v>557</v>
      </c>
      <c r="D26" s="72">
        <v>2</v>
      </c>
    </row>
    <row r="27" spans="1:4" s="73" customFormat="1" ht="15">
      <c r="A27" s="310" t="s">
        <v>573</v>
      </c>
      <c r="B27" s="311"/>
      <c r="C27" s="72" t="s">
        <v>400</v>
      </c>
      <c r="D27" s="72">
        <v>3</v>
      </c>
    </row>
    <row r="28" spans="1:4" s="73" customFormat="1" ht="19.5" customHeight="1">
      <c r="A28" s="399" t="s">
        <v>571</v>
      </c>
      <c r="B28" s="400"/>
      <c r="C28" s="105" t="s">
        <v>485</v>
      </c>
      <c r="D28" s="72">
        <v>2</v>
      </c>
    </row>
    <row r="29" spans="1:4" s="73" customFormat="1" ht="15">
      <c r="A29" s="400" t="s">
        <v>580</v>
      </c>
      <c r="B29" s="448"/>
      <c r="C29" s="72" t="s">
        <v>577</v>
      </c>
      <c r="D29" s="72">
        <v>3.5</v>
      </c>
    </row>
    <row r="30" spans="1:4" s="73" customFormat="1" ht="30">
      <c r="A30" s="400" t="s">
        <v>640</v>
      </c>
      <c r="B30" s="448"/>
      <c r="C30" s="105" t="s">
        <v>639</v>
      </c>
      <c r="D30" s="72">
        <v>6</v>
      </c>
    </row>
    <row r="31" spans="1:4" s="73" customFormat="1" ht="15">
      <c r="A31" s="400" t="s">
        <v>1286</v>
      </c>
      <c r="B31" s="448"/>
      <c r="C31" s="72" t="s">
        <v>1287</v>
      </c>
      <c r="D31" s="72">
        <v>4.5</v>
      </c>
    </row>
    <row r="32" spans="1:4" s="73" customFormat="1" ht="15">
      <c r="A32" s="72" t="s">
        <v>1717</v>
      </c>
      <c r="B32" s="72"/>
      <c r="C32" s="72" t="s">
        <v>1718</v>
      </c>
      <c r="D32" s="72">
        <v>3</v>
      </c>
    </row>
    <row r="33" spans="1:4" s="73" customFormat="1" ht="15">
      <c r="A33" s="400" t="s">
        <v>2423</v>
      </c>
      <c r="B33" s="448"/>
      <c r="C33" s="72" t="s">
        <v>2424</v>
      </c>
      <c r="D33" s="72">
        <v>5</v>
      </c>
    </row>
    <row r="34" spans="1:4" s="73" customFormat="1" ht="12.75" customHeight="1">
      <c r="A34" s="400" t="s">
        <v>1829</v>
      </c>
      <c r="B34" s="448"/>
      <c r="C34" s="72" t="s">
        <v>1830</v>
      </c>
      <c r="D34" s="72">
        <v>1.5</v>
      </c>
    </row>
    <row r="35" spans="1:4" s="73" customFormat="1" ht="15">
      <c r="A35" s="400" t="s">
        <v>1832</v>
      </c>
      <c r="B35" s="448"/>
      <c r="C35" s="72" t="s">
        <v>1833</v>
      </c>
      <c r="D35" s="72">
        <v>3</v>
      </c>
    </row>
    <row r="36" spans="1:4" s="73" customFormat="1" ht="30" customHeight="1">
      <c r="A36" s="400" t="s">
        <v>2540</v>
      </c>
      <c r="B36" s="448"/>
      <c r="C36" s="72" t="s">
        <v>516</v>
      </c>
      <c r="D36" s="72">
        <v>2</v>
      </c>
    </row>
    <row r="37" spans="1:4" s="73" customFormat="1" ht="19.5" customHeight="1">
      <c r="A37" s="474" t="s">
        <v>571</v>
      </c>
      <c r="B37" s="475"/>
      <c r="C37" s="141" t="s">
        <v>485</v>
      </c>
      <c r="D37" s="109">
        <v>2</v>
      </c>
    </row>
    <row r="38" spans="1:4" s="73" customFormat="1" ht="15">
      <c r="A38" s="475" t="s">
        <v>580</v>
      </c>
      <c r="B38" s="482"/>
      <c r="C38" s="109" t="s">
        <v>577</v>
      </c>
      <c r="D38" s="109">
        <v>3.5</v>
      </c>
    </row>
    <row r="39" spans="1:4" s="73" customFormat="1" ht="30">
      <c r="A39" s="475" t="s">
        <v>640</v>
      </c>
      <c r="B39" s="482"/>
      <c r="C39" s="141" t="s">
        <v>639</v>
      </c>
      <c r="D39" s="109">
        <v>6</v>
      </c>
    </row>
    <row r="40" spans="1:4" ht="15" customHeight="1">
      <c r="A40" s="475" t="s">
        <v>62</v>
      </c>
      <c r="B40" s="482"/>
      <c r="C40" s="109"/>
      <c r="D40" s="109"/>
    </row>
    <row r="41" spans="1:4" ht="15.75" customHeight="1" thickBot="1">
      <c r="A41" s="477" t="s">
        <v>63</v>
      </c>
      <c r="B41" s="483"/>
      <c r="C41" s="109"/>
      <c r="D41" s="109"/>
    </row>
    <row r="42" spans="1:4" ht="15.75" thickBot="1">
      <c r="A42" s="484" t="s">
        <v>64</v>
      </c>
      <c r="B42" s="485"/>
      <c r="C42" s="109"/>
      <c r="D42" s="109"/>
    </row>
    <row r="43" spans="1:4" ht="15">
      <c r="A43" s="486" t="s">
        <v>66</v>
      </c>
      <c r="B43" s="487"/>
      <c r="C43" s="109"/>
      <c r="D43" s="109"/>
    </row>
    <row r="44" spans="1:4" ht="15">
      <c r="A44" s="137" t="s">
        <v>68</v>
      </c>
      <c r="B44" s="138"/>
      <c r="C44" s="109"/>
      <c r="D44" s="109"/>
    </row>
    <row r="45" spans="1:4" ht="15" customHeight="1">
      <c r="A45" s="87" t="s">
        <v>2485</v>
      </c>
      <c r="B45" s="140"/>
      <c r="C45" s="181" t="s">
        <v>328</v>
      </c>
      <c r="D45" s="199">
        <v>1</v>
      </c>
    </row>
    <row r="46" spans="1:4" ht="15" customHeight="1">
      <c r="A46" s="87" t="s">
        <v>327</v>
      </c>
      <c r="B46" s="140"/>
      <c r="C46" s="181" t="s">
        <v>370</v>
      </c>
      <c r="D46" s="199">
        <v>0.5</v>
      </c>
    </row>
    <row r="47" spans="1:4" ht="15">
      <c r="A47" s="87" t="s">
        <v>2403</v>
      </c>
      <c r="B47" s="140"/>
      <c r="C47" s="181" t="s">
        <v>400</v>
      </c>
      <c r="D47" s="199">
        <v>0.5</v>
      </c>
    </row>
    <row r="48" spans="1:4" s="73" customFormat="1" ht="15" customHeight="1">
      <c r="A48" s="87" t="s">
        <v>2413</v>
      </c>
      <c r="B48" s="88"/>
      <c r="C48" s="72" t="s">
        <v>400</v>
      </c>
      <c r="D48" s="72">
        <v>0.5</v>
      </c>
    </row>
    <row r="49" spans="1:4" s="73" customFormat="1" ht="15" customHeight="1">
      <c r="A49" s="87" t="s">
        <v>453</v>
      </c>
      <c r="B49" s="88"/>
      <c r="C49" s="72" t="s">
        <v>454</v>
      </c>
      <c r="D49" s="72">
        <v>0.6</v>
      </c>
    </row>
    <row r="50" spans="1:4" s="73" customFormat="1" ht="15" customHeight="1">
      <c r="A50" s="87" t="s">
        <v>455</v>
      </c>
      <c r="B50" s="88"/>
      <c r="C50" s="72" t="s">
        <v>400</v>
      </c>
      <c r="D50" s="72">
        <v>0.3</v>
      </c>
    </row>
    <row r="51" spans="1:4" s="73" customFormat="1" ht="15">
      <c r="A51" s="87" t="s">
        <v>462</v>
      </c>
      <c r="B51" s="88"/>
      <c r="C51" s="72" t="s">
        <v>463</v>
      </c>
      <c r="D51" s="72">
        <v>2</v>
      </c>
    </row>
    <row r="52" spans="1:4" s="73" customFormat="1" ht="36" customHeight="1">
      <c r="A52" s="278" t="s">
        <v>482</v>
      </c>
      <c r="B52" s="254"/>
      <c r="C52" s="72" t="s">
        <v>401</v>
      </c>
      <c r="D52" s="72">
        <v>2</v>
      </c>
    </row>
    <row r="53" spans="1:4" s="73" customFormat="1" ht="15" customHeight="1">
      <c r="A53" s="87" t="s">
        <v>491</v>
      </c>
      <c r="B53" s="88"/>
      <c r="C53" s="72" t="s">
        <v>371</v>
      </c>
      <c r="D53" s="72">
        <v>2.7</v>
      </c>
    </row>
    <row r="54" spans="1:4" s="73" customFormat="1" ht="15" customHeight="1">
      <c r="A54" s="202" t="s">
        <v>525</v>
      </c>
      <c r="B54" s="254"/>
      <c r="C54" s="72" t="s">
        <v>526</v>
      </c>
      <c r="D54" s="72">
        <v>2.8</v>
      </c>
    </row>
    <row r="55" spans="1:5" s="73" customFormat="1" ht="15" customHeight="1">
      <c r="A55" s="87" t="s">
        <v>2490</v>
      </c>
      <c r="B55" s="88"/>
      <c r="C55" s="72"/>
      <c r="D55" s="72" t="s">
        <v>917</v>
      </c>
      <c r="E55" s="72">
        <f>1+1</f>
        <v>2</v>
      </c>
    </row>
    <row r="56" spans="1:4" s="73" customFormat="1" ht="15">
      <c r="A56" s="87" t="s">
        <v>773</v>
      </c>
      <c r="B56" s="93"/>
      <c r="C56" s="72" t="s">
        <v>784</v>
      </c>
      <c r="D56" s="72">
        <v>2</v>
      </c>
    </row>
    <row r="57" spans="1:4" s="73" customFormat="1" ht="15" customHeight="1">
      <c r="A57" s="142" t="s">
        <v>453</v>
      </c>
      <c r="B57" s="140"/>
      <c r="C57" s="109" t="s">
        <v>454</v>
      </c>
      <c r="D57" s="109">
        <v>0.6</v>
      </c>
    </row>
    <row r="58" spans="1:4" s="73" customFormat="1" ht="15" customHeight="1">
      <c r="A58" s="142" t="s">
        <v>455</v>
      </c>
      <c r="B58" s="140"/>
      <c r="C58" s="109" t="s">
        <v>400</v>
      </c>
      <c r="D58" s="109">
        <v>0.3</v>
      </c>
    </row>
    <row r="59" spans="1:4" s="73" customFormat="1" ht="15">
      <c r="A59" s="142" t="s">
        <v>462</v>
      </c>
      <c r="B59" s="140"/>
      <c r="C59" s="109" t="s">
        <v>463</v>
      </c>
      <c r="D59" s="109">
        <v>2</v>
      </c>
    </row>
    <row r="60" spans="1:4" s="73" customFormat="1" ht="36" customHeight="1">
      <c r="A60" s="163" t="s">
        <v>482</v>
      </c>
      <c r="B60" s="144"/>
      <c r="C60" s="109" t="s">
        <v>401</v>
      </c>
      <c r="D60" s="109">
        <v>2</v>
      </c>
    </row>
    <row r="61" spans="1:4" s="73" customFormat="1" ht="15" customHeight="1">
      <c r="A61" s="142" t="s">
        <v>491</v>
      </c>
      <c r="B61" s="140"/>
      <c r="C61" s="109" t="s">
        <v>371</v>
      </c>
      <c r="D61" s="109">
        <v>2.7</v>
      </c>
    </row>
    <row r="62" spans="1:4" s="73" customFormat="1" ht="15" customHeight="1">
      <c r="A62" s="143" t="s">
        <v>525</v>
      </c>
      <c r="B62" s="144"/>
      <c r="C62" s="109" t="s">
        <v>526</v>
      </c>
      <c r="D62" s="109">
        <v>2.8</v>
      </c>
    </row>
    <row r="63" spans="1:4" ht="15">
      <c r="A63" s="143" t="s">
        <v>84</v>
      </c>
      <c r="B63" s="144"/>
      <c r="C63" s="109"/>
      <c r="D63" s="109"/>
    </row>
    <row r="64" spans="1:4" ht="15" customHeight="1">
      <c r="A64" s="143" t="s">
        <v>86</v>
      </c>
      <c r="B64" s="144"/>
      <c r="C64" s="109"/>
      <c r="D64" s="109"/>
    </row>
    <row r="65" spans="1:4" ht="15" customHeight="1">
      <c r="A65" s="147" t="s">
        <v>88</v>
      </c>
      <c r="B65" s="148"/>
      <c r="C65" s="109"/>
      <c r="D65" s="109"/>
    </row>
    <row r="66" spans="1:4" ht="15">
      <c r="A66" s="488" t="s">
        <v>90</v>
      </c>
      <c r="B66" s="489"/>
      <c r="C66" s="109"/>
      <c r="D66" s="109"/>
    </row>
    <row r="67" spans="1:4" ht="15">
      <c r="A67" s="312" t="s">
        <v>2455</v>
      </c>
      <c r="B67" s="116"/>
      <c r="C67" s="72" t="s">
        <v>342</v>
      </c>
      <c r="D67" s="72">
        <f>6*130</f>
        <v>780</v>
      </c>
    </row>
    <row r="68" spans="1:4" ht="15">
      <c r="A68" s="312" t="s">
        <v>2456</v>
      </c>
      <c r="B68" s="116"/>
      <c r="C68" s="72" t="s">
        <v>400</v>
      </c>
      <c r="D68" s="72">
        <f>2*130</f>
        <v>260</v>
      </c>
    </row>
    <row r="69" spans="1:4" ht="15">
      <c r="A69" s="312" t="s">
        <v>2457</v>
      </c>
      <c r="B69" s="116"/>
      <c r="C69" s="72" t="s">
        <v>1324</v>
      </c>
      <c r="D69" s="72">
        <f>6*130*2</f>
        <v>1560</v>
      </c>
    </row>
    <row r="70" spans="1:4" ht="30">
      <c r="A70" s="312" t="s">
        <v>2458</v>
      </c>
      <c r="B70" s="116"/>
      <c r="C70" s="105" t="s">
        <v>2459</v>
      </c>
      <c r="D70" s="72">
        <f>3*130+2*130+5*130</f>
        <v>1300</v>
      </c>
    </row>
    <row r="71" spans="1:4" ht="15">
      <c r="A71" s="312" t="s">
        <v>2460</v>
      </c>
      <c r="B71" s="116"/>
      <c r="C71" s="72" t="s">
        <v>400</v>
      </c>
      <c r="D71" s="72">
        <f>1.5*130</f>
        <v>195</v>
      </c>
    </row>
    <row r="72" spans="1:4" ht="15">
      <c r="A72" s="327" t="s">
        <v>1736</v>
      </c>
      <c r="B72" s="91"/>
      <c r="C72" s="72" t="s">
        <v>279</v>
      </c>
      <c r="D72" s="72">
        <f>130*0.5</f>
        <v>65</v>
      </c>
    </row>
    <row r="73" spans="1:4" ht="15">
      <c r="A73" s="327" t="s">
        <v>2461</v>
      </c>
      <c r="B73" s="91"/>
      <c r="C73" s="72" t="s">
        <v>2462</v>
      </c>
      <c r="D73" s="72">
        <f>6*130*3</f>
        <v>2340</v>
      </c>
    </row>
    <row r="74" spans="1:4" ht="15">
      <c r="A74" s="327" t="s">
        <v>2463</v>
      </c>
      <c r="B74" s="91"/>
      <c r="C74" s="72" t="s">
        <v>360</v>
      </c>
      <c r="D74" s="72">
        <f>2*130</f>
        <v>260</v>
      </c>
    </row>
    <row r="75" spans="1:4" ht="15">
      <c r="A75" s="327" t="s">
        <v>791</v>
      </c>
      <c r="B75" s="91"/>
      <c r="C75" s="72" t="s">
        <v>360</v>
      </c>
      <c r="D75" s="72">
        <f>0.4*130</f>
        <v>52</v>
      </c>
    </row>
    <row r="76" spans="1:4" ht="15">
      <c r="A76" s="327" t="s">
        <v>2464</v>
      </c>
      <c r="B76" s="91"/>
      <c r="C76" s="72" t="s">
        <v>342</v>
      </c>
      <c r="D76" s="72">
        <f>1.5*130</f>
        <v>195</v>
      </c>
    </row>
    <row r="77" spans="1:4" ht="15">
      <c r="A77" s="327" t="s">
        <v>1737</v>
      </c>
      <c r="B77" s="91"/>
      <c r="C77" s="72" t="s">
        <v>279</v>
      </c>
      <c r="D77" s="72">
        <f>130*0.5</f>
        <v>65</v>
      </c>
    </row>
    <row r="78" spans="1:4" ht="15">
      <c r="A78" s="327" t="s">
        <v>2465</v>
      </c>
      <c r="B78" s="91"/>
      <c r="C78" s="72" t="s">
        <v>279</v>
      </c>
      <c r="D78" s="72">
        <f>1.5*130</f>
        <v>195</v>
      </c>
    </row>
    <row r="79" spans="1:4" ht="15">
      <c r="A79" s="312" t="s">
        <v>2466</v>
      </c>
      <c r="B79" s="116"/>
      <c r="C79" s="72" t="s">
        <v>279</v>
      </c>
      <c r="D79" s="72">
        <f>0.2*130</f>
        <v>26</v>
      </c>
    </row>
    <row r="80" spans="1:4" ht="15">
      <c r="A80" s="212" t="s">
        <v>2467</v>
      </c>
      <c r="B80" s="116"/>
      <c r="C80" s="72" t="s">
        <v>342</v>
      </c>
      <c r="D80" s="72">
        <f>1.5*130</f>
        <v>195</v>
      </c>
    </row>
    <row r="81" spans="1:4" ht="15">
      <c r="A81" s="312" t="s">
        <v>2468</v>
      </c>
      <c r="B81" s="116"/>
      <c r="C81" s="72" t="s">
        <v>342</v>
      </c>
      <c r="D81" s="72">
        <f>1.5*130</f>
        <v>195</v>
      </c>
    </row>
    <row r="82" spans="1:4" ht="15">
      <c r="A82" s="212" t="s">
        <v>803</v>
      </c>
      <c r="B82" s="116"/>
      <c r="C82" s="72"/>
      <c r="D82" s="72">
        <f>3894.14-200.88</f>
        <v>3693.2599999999998</v>
      </c>
    </row>
    <row r="83" spans="1:4" ht="15">
      <c r="A83" s="327" t="s">
        <v>2477</v>
      </c>
      <c r="B83" s="91"/>
      <c r="C83" s="72" t="s">
        <v>400</v>
      </c>
      <c r="D83" s="72">
        <f>8*130</f>
        <v>1040</v>
      </c>
    </row>
    <row r="84" spans="1:4" ht="15">
      <c r="A84" s="327" t="s">
        <v>2478</v>
      </c>
      <c r="B84" s="91"/>
      <c r="C84" s="72" t="s">
        <v>1745</v>
      </c>
      <c r="D84" s="72">
        <v>260</v>
      </c>
    </row>
    <row r="85" spans="1:4" ht="15">
      <c r="A85" s="327" t="s">
        <v>2479</v>
      </c>
      <c r="B85" s="91"/>
      <c r="C85" s="72" t="s">
        <v>2480</v>
      </c>
      <c r="D85" s="72">
        <v>390</v>
      </c>
    </row>
    <row r="86" spans="1:4" ht="15">
      <c r="A86" s="328" t="s">
        <v>822</v>
      </c>
      <c r="B86" s="253"/>
      <c r="C86" s="72" t="s">
        <v>279</v>
      </c>
      <c r="D86" s="72">
        <f>130*0.5</f>
        <v>65</v>
      </c>
    </row>
    <row r="87" spans="1:4" ht="15">
      <c r="A87" s="327" t="s">
        <v>2481</v>
      </c>
      <c r="B87" s="91"/>
      <c r="C87" s="72" t="s">
        <v>400</v>
      </c>
      <c r="D87" s="72">
        <f>4*130</f>
        <v>520</v>
      </c>
    </row>
    <row r="88" spans="1:4" ht="15">
      <c r="A88" s="327" t="s">
        <v>2482</v>
      </c>
      <c r="B88" s="91"/>
      <c r="C88" s="72" t="s">
        <v>823</v>
      </c>
      <c r="D88" s="72">
        <f>130*2*2</f>
        <v>520</v>
      </c>
    </row>
    <row r="89" spans="1:4" ht="15">
      <c r="A89" s="327" t="s">
        <v>2483</v>
      </c>
      <c r="B89" s="91"/>
      <c r="C89" s="72" t="s">
        <v>342</v>
      </c>
      <c r="D89" s="72">
        <v>130</v>
      </c>
    </row>
    <row r="90" spans="1:4" ht="15">
      <c r="A90" s="330" t="s">
        <v>2484</v>
      </c>
      <c r="B90" s="91"/>
      <c r="C90" s="72" t="s">
        <v>400</v>
      </c>
      <c r="D90" s="72">
        <v>130</v>
      </c>
    </row>
    <row r="91" spans="1:4" ht="15">
      <c r="A91" s="327" t="s">
        <v>1885</v>
      </c>
      <c r="B91" s="91"/>
      <c r="C91" s="72" t="s">
        <v>279</v>
      </c>
      <c r="D91" s="72">
        <f>0.5*65</f>
        <v>32.5</v>
      </c>
    </row>
    <row r="92" spans="1:4" ht="15" customHeight="1">
      <c r="A92" s="401" t="s">
        <v>2486</v>
      </c>
      <c r="B92" s="402"/>
      <c r="C92" s="181" t="s">
        <v>279</v>
      </c>
      <c r="D92" s="199">
        <v>0.5</v>
      </c>
    </row>
    <row r="93" spans="1:4" ht="15" customHeight="1">
      <c r="A93" s="313" t="s">
        <v>364</v>
      </c>
      <c r="B93" s="318"/>
      <c r="C93" s="181" t="s">
        <v>360</v>
      </c>
      <c r="D93" s="199">
        <v>1</v>
      </c>
    </row>
    <row r="94" spans="1:4" ht="15" customHeight="1">
      <c r="A94" s="402" t="s">
        <v>350</v>
      </c>
      <c r="B94" s="413"/>
      <c r="C94" s="181" t="s">
        <v>346</v>
      </c>
      <c r="D94" s="199">
        <f>8+1.5</f>
        <v>9.5</v>
      </c>
    </row>
    <row r="95" spans="1:4" ht="15.75" customHeight="1">
      <c r="A95" s="424" t="s">
        <v>290</v>
      </c>
      <c r="B95" s="425"/>
      <c r="C95" s="181" t="s">
        <v>279</v>
      </c>
      <c r="D95" s="199">
        <v>1.5</v>
      </c>
    </row>
    <row r="96" spans="1:4" ht="15">
      <c r="A96" s="409" t="s">
        <v>2488</v>
      </c>
      <c r="B96" s="410"/>
      <c r="C96" s="181" t="s">
        <v>279</v>
      </c>
      <c r="D96" s="199">
        <v>2</v>
      </c>
    </row>
    <row r="97" spans="1:4" ht="15">
      <c r="A97" s="409" t="s">
        <v>2489</v>
      </c>
      <c r="B97" s="410"/>
      <c r="C97" s="181" t="s">
        <v>279</v>
      </c>
      <c r="D97" s="199">
        <v>7</v>
      </c>
    </row>
    <row r="98" spans="1:5" s="73" customFormat="1" ht="15">
      <c r="A98" s="327" t="s">
        <v>2491</v>
      </c>
      <c r="B98" s="91"/>
      <c r="C98" s="72"/>
      <c r="D98" s="72" t="s">
        <v>243</v>
      </c>
      <c r="E98" s="72">
        <v>2</v>
      </c>
    </row>
    <row r="99" spans="1:5" s="73" customFormat="1" ht="15">
      <c r="A99" s="327" t="s">
        <v>2492</v>
      </c>
      <c r="B99" s="91"/>
      <c r="C99" s="72"/>
      <c r="D99" s="72" t="s">
        <v>243</v>
      </c>
      <c r="E99" s="72">
        <v>2.5</v>
      </c>
    </row>
    <row r="100" spans="1:4" s="73" customFormat="1" ht="28.5">
      <c r="A100" s="92" t="s">
        <v>2496</v>
      </c>
      <c r="B100" s="72"/>
      <c r="C100" s="72" t="s">
        <v>358</v>
      </c>
      <c r="D100" s="72">
        <v>8</v>
      </c>
    </row>
    <row r="101" spans="1:4" s="73" customFormat="1" ht="28.5">
      <c r="A101" s="92" t="s">
        <v>667</v>
      </c>
      <c r="B101" s="72"/>
      <c r="C101" s="72" t="s">
        <v>328</v>
      </c>
      <c r="D101" s="72">
        <v>4</v>
      </c>
    </row>
    <row r="102" spans="1:4" s="73" customFormat="1" ht="15">
      <c r="A102" s="92" t="s">
        <v>2499</v>
      </c>
      <c r="B102" s="72"/>
      <c r="C102" s="72" t="s">
        <v>592</v>
      </c>
      <c r="D102" s="72">
        <v>4</v>
      </c>
    </row>
    <row r="103" spans="1:4" s="73" customFormat="1" ht="15" customHeight="1">
      <c r="A103" s="313" t="s">
        <v>2500</v>
      </c>
      <c r="B103" s="318"/>
      <c r="C103" s="72" t="s">
        <v>955</v>
      </c>
      <c r="D103" s="72">
        <v>4.5</v>
      </c>
    </row>
    <row r="104" spans="1:4" s="73" customFormat="1" ht="15" customHeight="1">
      <c r="A104" s="402" t="s">
        <v>2501</v>
      </c>
      <c r="B104" s="413"/>
      <c r="C104" s="72" t="s">
        <v>358</v>
      </c>
      <c r="D104" s="72">
        <v>12</v>
      </c>
    </row>
    <row r="105" spans="1:4" s="73" customFormat="1" ht="15">
      <c r="A105" s="402" t="s">
        <v>2502</v>
      </c>
      <c r="B105" s="413"/>
      <c r="C105" s="72" t="s">
        <v>2503</v>
      </c>
      <c r="D105" s="72">
        <v>20</v>
      </c>
    </row>
    <row r="106" spans="1:4" s="73" customFormat="1" ht="15">
      <c r="A106" s="321" t="s">
        <v>2504</v>
      </c>
      <c r="B106" s="322"/>
      <c r="C106" s="72" t="s">
        <v>1127</v>
      </c>
      <c r="D106" s="72">
        <v>24</v>
      </c>
    </row>
    <row r="107" spans="1:4" s="73" customFormat="1" ht="15">
      <c r="A107" s="321" t="s">
        <v>2505</v>
      </c>
      <c r="B107" s="322"/>
      <c r="C107" s="72" t="s">
        <v>2506</v>
      </c>
      <c r="D107" s="72">
        <v>19</v>
      </c>
    </row>
    <row r="108" spans="1:4" s="73" customFormat="1" ht="15">
      <c r="A108" s="321" t="s">
        <v>2507</v>
      </c>
      <c r="B108" s="322"/>
      <c r="C108" s="72" t="s">
        <v>1932</v>
      </c>
      <c r="D108" s="72">
        <v>8</v>
      </c>
    </row>
    <row r="109" spans="1:4" s="73" customFormat="1" ht="15">
      <c r="A109" s="321" t="s">
        <v>2508</v>
      </c>
      <c r="B109" s="322"/>
      <c r="C109" s="72" t="s">
        <v>1608</v>
      </c>
      <c r="D109" s="72">
        <f>3+3+2</f>
        <v>8</v>
      </c>
    </row>
    <row r="110" spans="1:4" s="73" customFormat="1" ht="15">
      <c r="A110" s="321" t="s">
        <v>2509</v>
      </c>
      <c r="B110" s="322"/>
      <c r="C110" s="72" t="s">
        <v>2510</v>
      </c>
      <c r="D110" s="72">
        <v>32</v>
      </c>
    </row>
    <row r="111" spans="1:4" s="73" customFormat="1" ht="15">
      <c r="A111" s="321" t="s">
        <v>2511</v>
      </c>
      <c r="B111" s="322"/>
      <c r="C111" s="72" t="s">
        <v>1017</v>
      </c>
      <c r="D111" s="72">
        <v>3</v>
      </c>
    </row>
    <row r="112" spans="1:4" s="73" customFormat="1" ht="15">
      <c r="A112" s="321" t="s">
        <v>2512</v>
      </c>
      <c r="B112" s="322"/>
      <c r="C112" s="72" t="s">
        <v>2510</v>
      </c>
      <c r="D112" s="72">
        <v>32</v>
      </c>
    </row>
    <row r="113" spans="1:4" s="73" customFormat="1" ht="15">
      <c r="A113" s="321" t="s">
        <v>2513</v>
      </c>
      <c r="B113" s="322"/>
      <c r="C113" s="72" t="s">
        <v>2510</v>
      </c>
      <c r="D113" s="72">
        <v>32</v>
      </c>
    </row>
    <row r="114" spans="1:4" s="73" customFormat="1" ht="15">
      <c r="A114" s="321" t="s">
        <v>2514</v>
      </c>
      <c r="B114" s="322"/>
      <c r="C114" s="72" t="s">
        <v>358</v>
      </c>
      <c r="D114" s="72">
        <v>16</v>
      </c>
    </row>
    <row r="115" spans="1:4" s="73" customFormat="1" ht="15">
      <c r="A115" s="92" t="s">
        <v>2524</v>
      </c>
      <c r="B115" s="72"/>
      <c r="C115" s="72" t="s">
        <v>1786</v>
      </c>
      <c r="D115" s="72">
        <v>4</v>
      </c>
    </row>
    <row r="116" spans="1:4" s="73" customFormat="1" ht="15" customHeight="1">
      <c r="A116" s="313" t="s">
        <v>2525</v>
      </c>
      <c r="B116" s="318"/>
      <c r="C116" s="72" t="s">
        <v>2444</v>
      </c>
      <c r="D116" s="72">
        <v>16</v>
      </c>
    </row>
    <row r="117" spans="1:4" s="73" customFormat="1" ht="17.25" customHeight="1">
      <c r="A117" s="401" t="s">
        <v>1821</v>
      </c>
      <c r="B117" s="402"/>
      <c r="C117" s="72" t="s">
        <v>1822</v>
      </c>
      <c r="D117" s="72">
        <v>1</v>
      </c>
    </row>
    <row r="118" spans="1:4" s="73" customFormat="1" ht="15">
      <c r="A118" s="402" t="s">
        <v>2526</v>
      </c>
      <c r="B118" s="413"/>
      <c r="C118" s="72" t="s">
        <v>2527</v>
      </c>
      <c r="D118" s="72">
        <v>4</v>
      </c>
    </row>
    <row r="119" spans="1:4" s="73" customFormat="1" ht="15">
      <c r="A119" s="321" t="s">
        <v>2528</v>
      </c>
      <c r="B119" s="322"/>
      <c r="C119" s="72" t="s">
        <v>2529</v>
      </c>
      <c r="D119" s="72">
        <v>32</v>
      </c>
    </row>
    <row r="120" spans="1:4" s="73" customFormat="1" ht="15">
      <c r="A120" s="321" t="s">
        <v>2530</v>
      </c>
      <c r="B120" s="322"/>
      <c r="C120" s="72" t="s">
        <v>2531</v>
      </c>
      <c r="D120" s="72">
        <v>12</v>
      </c>
    </row>
    <row r="121" spans="1:4" s="73" customFormat="1" ht="29.25" customHeight="1">
      <c r="A121" s="312" t="s">
        <v>1941</v>
      </c>
      <c r="B121" s="318"/>
      <c r="C121" s="72" t="s">
        <v>279</v>
      </c>
      <c r="D121" s="72">
        <v>3</v>
      </c>
    </row>
    <row r="122" spans="1:4" s="73" customFormat="1" ht="15" customHeight="1">
      <c r="A122" s="312" t="s">
        <v>1298</v>
      </c>
      <c r="B122" s="318"/>
      <c r="C122" s="72" t="s">
        <v>1299</v>
      </c>
      <c r="D122" s="72">
        <v>2</v>
      </c>
    </row>
    <row r="123" spans="1:4" s="73" customFormat="1" ht="33" customHeight="1">
      <c r="A123" s="321" t="s">
        <v>905</v>
      </c>
      <c r="B123" s="322"/>
      <c r="C123" s="105" t="s">
        <v>906</v>
      </c>
      <c r="D123" s="72">
        <v>1.2</v>
      </c>
    </row>
    <row r="124" spans="1:4" s="73" customFormat="1" ht="15">
      <c r="A124" s="402" t="s">
        <v>907</v>
      </c>
      <c r="B124" s="413"/>
      <c r="C124" s="72" t="s">
        <v>908</v>
      </c>
      <c r="D124" s="72">
        <v>2.25</v>
      </c>
    </row>
    <row r="125" spans="1:4" s="73" customFormat="1" ht="29.25" customHeight="1">
      <c r="A125" s="312" t="s">
        <v>1307</v>
      </c>
      <c r="B125" s="318"/>
      <c r="C125" s="105" t="s">
        <v>1308</v>
      </c>
      <c r="D125" s="72">
        <v>1.8</v>
      </c>
    </row>
    <row r="126" spans="1:4" s="73" customFormat="1" ht="18" customHeight="1">
      <c r="A126" s="312" t="s">
        <v>1089</v>
      </c>
      <c r="B126" s="318"/>
      <c r="C126" s="72" t="s">
        <v>1090</v>
      </c>
      <c r="D126" s="72">
        <v>1.5</v>
      </c>
    </row>
    <row r="127" spans="1:4" s="73" customFormat="1" ht="18.75" customHeight="1">
      <c r="A127" s="321" t="s">
        <v>1310</v>
      </c>
      <c r="B127" s="322"/>
      <c r="C127" s="105" t="s">
        <v>1311</v>
      </c>
      <c r="D127" s="72">
        <v>3.4</v>
      </c>
    </row>
    <row r="128" spans="1:4" s="73" customFormat="1" ht="15">
      <c r="A128" s="402" t="s">
        <v>2541</v>
      </c>
      <c r="B128" s="413"/>
      <c r="C128" s="72" t="s">
        <v>400</v>
      </c>
      <c r="D128" s="72">
        <v>0.5</v>
      </c>
    </row>
    <row r="129" spans="1:4" s="73" customFormat="1" ht="28.5">
      <c r="A129" s="321" t="s">
        <v>2542</v>
      </c>
      <c r="B129" s="322"/>
      <c r="C129" s="72" t="s">
        <v>724</v>
      </c>
      <c r="D129" s="72">
        <v>2</v>
      </c>
    </row>
    <row r="130" spans="1:4" s="73" customFormat="1" ht="28.5">
      <c r="A130" s="321" t="s">
        <v>2543</v>
      </c>
      <c r="B130" s="322"/>
      <c r="C130" s="72" t="s">
        <v>724</v>
      </c>
      <c r="D130" s="72">
        <v>1</v>
      </c>
    </row>
    <row r="131" spans="1:4" s="73" customFormat="1" ht="15">
      <c r="A131" s="321" t="s">
        <v>2544</v>
      </c>
      <c r="B131" s="322"/>
      <c r="C131" s="72" t="s">
        <v>468</v>
      </c>
      <c r="D131" s="72">
        <v>2</v>
      </c>
    </row>
    <row r="132" spans="1:4" s="73" customFormat="1" ht="15">
      <c r="A132" s="402" t="s">
        <v>1093</v>
      </c>
      <c r="B132" s="413"/>
      <c r="C132" s="72" t="s">
        <v>1094</v>
      </c>
      <c r="D132" s="72">
        <v>1.1</v>
      </c>
    </row>
    <row r="133" spans="1:4" s="73" customFormat="1" ht="28.5">
      <c r="A133" s="321" t="s">
        <v>2545</v>
      </c>
      <c r="B133" s="322"/>
      <c r="C133" s="72" t="s">
        <v>360</v>
      </c>
      <c r="D133" s="72">
        <v>2</v>
      </c>
    </row>
    <row r="134" spans="1:4" s="73" customFormat="1" ht="28.5">
      <c r="A134" s="321" t="s">
        <v>2546</v>
      </c>
      <c r="B134" s="322"/>
      <c r="C134" s="72" t="s">
        <v>1313</v>
      </c>
      <c r="D134" s="72">
        <v>2</v>
      </c>
    </row>
    <row r="135" spans="1:4" ht="15" customHeight="1">
      <c r="A135" s="150" t="s">
        <v>364</v>
      </c>
      <c r="B135" s="149"/>
      <c r="C135" s="109" t="s">
        <v>360</v>
      </c>
      <c r="D135" s="109">
        <v>1</v>
      </c>
    </row>
    <row r="136" spans="1:4" ht="15" customHeight="1">
      <c r="A136" s="519" t="s">
        <v>350</v>
      </c>
      <c r="B136" s="520"/>
      <c r="C136" s="109" t="s">
        <v>346</v>
      </c>
      <c r="D136" s="109">
        <f>8+1.5</f>
        <v>9.5</v>
      </c>
    </row>
    <row r="137" spans="1:4" ht="15">
      <c r="A137" s="519" t="s">
        <v>96</v>
      </c>
      <c r="B137" s="520"/>
      <c r="C137" s="109"/>
      <c r="D137" s="109"/>
    </row>
    <row r="138" spans="1:4" ht="15.75" customHeight="1" thickBot="1">
      <c r="A138" s="521" t="s">
        <v>290</v>
      </c>
      <c r="B138" s="522"/>
      <c r="C138" s="109" t="s">
        <v>279</v>
      </c>
      <c r="D138" s="109">
        <v>1.5</v>
      </c>
    </row>
    <row r="139" spans="1:4" ht="15.75" thickBot="1">
      <c r="A139" s="485" t="s">
        <v>99</v>
      </c>
      <c r="B139" s="490"/>
      <c r="C139" s="109"/>
      <c r="D139" s="109"/>
    </row>
    <row r="140" spans="1:4" ht="30.75" customHeight="1" thickBot="1">
      <c r="A140" s="492" t="s">
        <v>307</v>
      </c>
      <c r="B140" s="493"/>
      <c r="C140" s="154" t="s">
        <v>424</v>
      </c>
      <c r="D140" s="155" t="s">
        <v>426</v>
      </c>
    </row>
    <row r="141" spans="1:4" ht="15.75" thickBot="1">
      <c r="A141" s="485" t="s">
        <v>101</v>
      </c>
      <c r="B141" s="490"/>
      <c r="C141" s="109"/>
      <c r="D141" s="109"/>
    </row>
    <row r="142" spans="1:4" ht="15.75" thickBot="1">
      <c r="A142" s="494" t="s">
        <v>102</v>
      </c>
      <c r="B142" s="478"/>
      <c r="C142" s="109" t="s">
        <v>243</v>
      </c>
      <c r="D142" s="109"/>
    </row>
    <row r="143" spans="1:4" ht="15">
      <c r="A143" s="327" t="s">
        <v>2469</v>
      </c>
      <c r="B143" s="325"/>
      <c r="C143" s="72" t="s">
        <v>243</v>
      </c>
      <c r="D143" s="72">
        <f>1.5*130</f>
        <v>195</v>
      </c>
    </row>
    <row r="144" spans="1:4" ht="15">
      <c r="A144" s="327" t="s">
        <v>2470</v>
      </c>
      <c r="B144" s="325"/>
      <c r="C144" s="72" t="s">
        <v>243</v>
      </c>
      <c r="D144" s="72">
        <f>1.2*130</f>
        <v>156</v>
      </c>
    </row>
    <row r="145" spans="1:4" ht="15">
      <c r="A145" s="327" t="s">
        <v>2471</v>
      </c>
      <c r="B145" s="325"/>
      <c r="C145" s="72" t="s">
        <v>243</v>
      </c>
      <c r="D145" s="72">
        <f>1.5*130</f>
        <v>195</v>
      </c>
    </row>
    <row r="146" spans="1:4" ht="15">
      <c r="A146" s="327" t="s">
        <v>2472</v>
      </c>
      <c r="B146" s="325"/>
      <c r="C146" s="72" t="s">
        <v>243</v>
      </c>
      <c r="D146" s="72">
        <v>130</v>
      </c>
    </row>
    <row r="147" spans="1:4" ht="15">
      <c r="A147" s="327" t="s">
        <v>2473</v>
      </c>
      <c r="B147" s="325"/>
      <c r="C147" s="72" t="s">
        <v>243</v>
      </c>
      <c r="D147" s="72">
        <f>0.4*130</f>
        <v>52</v>
      </c>
    </row>
    <row r="148" spans="1:4" ht="15">
      <c r="A148" s="327" t="s">
        <v>2474</v>
      </c>
      <c r="B148" s="325"/>
      <c r="C148" s="72" t="s">
        <v>243</v>
      </c>
      <c r="D148" s="72">
        <f>1.5*130</f>
        <v>195</v>
      </c>
    </row>
    <row r="149" spans="1:4" ht="15.75" thickBot="1">
      <c r="A149" s="327" t="s">
        <v>803</v>
      </c>
      <c r="B149" s="325"/>
      <c r="C149" s="72"/>
      <c r="D149" s="72">
        <f>50+98+12.88+40</f>
        <v>200.88</v>
      </c>
    </row>
    <row r="150" spans="1:4" ht="15">
      <c r="A150" s="525" t="s">
        <v>2475</v>
      </c>
      <c r="B150" s="526"/>
      <c r="C150" s="72"/>
      <c r="D150" s="72">
        <f>90+130</f>
        <v>220</v>
      </c>
    </row>
    <row r="151" spans="1:4" ht="15">
      <c r="A151" s="327" t="s">
        <v>1687</v>
      </c>
      <c r="B151" s="135"/>
      <c r="C151" s="199"/>
      <c r="D151" s="199">
        <v>1</v>
      </c>
    </row>
    <row r="152" spans="1:4" ht="15">
      <c r="A152" s="327" t="s">
        <v>2406</v>
      </c>
      <c r="B152" s="135"/>
      <c r="C152" s="199"/>
      <c r="D152" s="199">
        <v>0.5</v>
      </c>
    </row>
    <row r="153" spans="1:4" ht="15">
      <c r="A153" s="327" t="s">
        <v>2487</v>
      </c>
      <c r="B153" s="135"/>
      <c r="C153" s="199"/>
      <c r="D153" s="199">
        <v>1.5</v>
      </c>
    </row>
    <row r="154" spans="1:4" ht="15">
      <c r="A154" s="327" t="s">
        <v>259</v>
      </c>
      <c r="B154" s="135"/>
      <c r="C154" s="199"/>
      <c r="D154" s="199">
        <v>1</v>
      </c>
    </row>
    <row r="155" spans="1:4" ht="15">
      <c r="A155" s="327" t="s">
        <v>265</v>
      </c>
      <c r="B155" s="135"/>
      <c r="C155" s="199"/>
      <c r="D155" s="199">
        <v>1</v>
      </c>
    </row>
    <row r="156" spans="1:4" s="73" customFormat="1" ht="28.5">
      <c r="A156" s="327" t="s">
        <v>2493</v>
      </c>
      <c r="B156" s="91"/>
      <c r="C156" s="72" t="s">
        <v>243</v>
      </c>
      <c r="D156" s="72">
        <v>1</v>
      </c>
    </row>
    <row r="157" spans="1:4" s="73" customFormat="1" ht="15">
      <c r="A157" s="327" t="s">
        <v>2494</v>
      </c>
      <c r="B157" s="91"/>
      <c r="C157" s="72" t="s">
        <v>243</v>
      </c>
      <c r="D157" s="72">
        <v>1.5</v>
      </c>
    </row>
    <row r="158" spans="1:4" s="73" customFormat="1" ht="15">
      <c r="A158" s="327" t="s">
        <v>2495</v>
      </c>
      <c r="B158" s="91"/>
      <c r="C158" s="72" t="s">
        <v>243</v>
      </c>
      <c r="D158" s="72">
        <v>0.5</v>
      </c>
    </row>
    <row r="159" spans="1:4" s="73" customFormat="1" ht="28.5">
      <c r="A159" s="327" t="s">
        <v>2497</v>
      </c>
      <c r="B159" s="91"/>
      <c r="C159" s="72" t="s">
        <v>243</v>
      </c>
      <c r="D159" s="72">
        <v>4</v>
      </c>
    </row>
    <row r="160" spans="1:4" s="73" customFormat="1" ht="15">
      <c r="A160" s="327" t="s">
        <v>2498</v>
      </c>
      <c r="B160" s="91"/>
      <c r="C160" s="72" t="s">
        <v>243</v>
      </c>
      <c r="D160" s="72">
        <v>1</v>
      </c>
    </row>
    <row r="161" spans="1:4" s="73" customFormat="1" ht="18" customHeight="1">
      <c r="A161" s="327" t="s">
        <v>609</v>
      </c>
      <c r="B161" s="91"/>
      <c r="C161" s="72" t="s">
        <v>243</v>
      </c>
      <c r="D161" s="72">
        <v>4</v>
      </c>
    </row>
    <row r="162" spans="1:4" s="73" customFormat="1" ht="15">
      <c r="A162" s="327" t="s">
        <v>605</v>
      </c>
      <c r="B162" s="91"/>
      <c r="C162" s="72" t="s">
        <v>243</v>
      </c>
      <c r="D162" s="72">
        <v>0.5</v>
      </c>
    </row>
    <row r="163" spans="1:4" s="73" customFormat="1" ht="28.5">
      <c r="A163" s="90" t="s">
        <v>658</v>
      </c>
      <c r="B163" s="91"/>
      <c r="C163" s="72" t="s">
        <v>659</v>
      </c>
      <c r="D163" s="72">
        <v>4</v>
      </c>
    </row>
    <row r="164" spans="1:4" s="73" customFormat="1" ht="15">
      <c r="A164" s="90" t="s">
        <v>746</v>
      </c>
      <c r="B164" s="91"/>
      <c r="C164" s="72" t="s">
        <v>243</v>
      </c>
      <c r="D164" s="72">
        <v>3</v>
      </c>
    </row>
    <row r="165" spans="1:4" s="73" customFormat="1" ht="28.5">
      <c r="A165" s="327" t="s">
        <v>2515</v>
      </c>
      <c r="B165" s="91"/>
      <c r="C165" s="72" t="s">
        <v>2516</v>
      </c>
      <c r="D165" s="72">
        <v>3</v>
      </c>
    </row>
    <row r="166" spans="1:4" s="73" customFormat="1" ht="15">
      <c r="A166" s="327" t="s">
        <v>2517</v>
      </c>
      <c r="B166" s="91"/>
      <c r="C166" s="72" t="s">
        <v>243</v>
      </c>
      <c r="D166" s="72">
        <v>2</v>
      </c>
    </row>
    <row r="167" spans="1:4" s="73" customFormat="1" ht="18" customHeight="1">
      <c r="A167" s="327" t="s">
        <v>2518</v>
      </c>
      <c r="B167" s="91"/>
      <c r="C167" s="72" t="s">
        <v>243</v>
      </c>
      <c r="D167" s="72">
        <v>1.5</v>
      </c>
    </row>
    <row r="168" spans="1:4" s="73" customFormat="1" ht="15">
      <c r="A168" s="327" t="s">
        <v>2519</v>
      </c>
      <c r="B168" s="91"/>
      <c r="C168" s="72" t="s">
        <v>243</v>
      </c>
      <c r="D168" s="72">
        <v>4</v>
      </c>
    </row>
    <row r="169" spans="1:4" s="73" customFormat="1" ht="15">
      <c r="A169" s="327" t="s">
        <v>2520</v>
      </c>
      <c r="B169" s="91"/>
      <c r="C169" s="72" t="s">
        <v>243</v>
      </c>
      <c r="D169" s="72">
        <v>1.5</v>
      </c>
    </row>
    <row r="170" spans="1:4" s="73" customFormat="1" ht="15">
      <c r="A170" s="327" t="s">
        <v>2521</v>
      </c>
      <c r="B170" s="91"/>
      <c r="C170" s="72" t="s">
        <v>243</v>
      </c>
      <c r="D170" s="72">
        <v>3</v>
      </c>
    </row>
    <row r="171" spans="1:4" s="73" customFormat="1" ht="15">
      <c r="A171" s="327" t="s">
        <v>2522</v>
      </c>
      <c r="B171" s="91"/>
      <c r="C171" s="72" t="s">
        <v>243</v>
      </c>
      <c r="D171" s="72">
        <v>3</v>
      </c>
    </row>
    <row r="172" spans="1:4" s="73" customFormat="1" ht="15">
      <c r="A172" s="327" t="s">
        <v>2523</v>
      </c>
      <c r="B172" s="91"/>
      <c r="C172" s="72" t="s">
        <v>243</v>
      </c>
      <c r="D172" s="72">
        <v>8</v>
      </c>
    </row>
    <row r="173" spans="1:4" s="73" customFormat="1" ht="15">
      <c r="A173" s="327" t="s">
        <v>2532</v>
      </c>
      <c r="B173" s="91"/>
      <c r="C173" s="72" t="s">
        <v>2516</v>
      </c>
      <c r="D173" s="72">
        <v>1</v>
      </c>
    </row>
    <row r="174" spans="1:4" s="73" customFormat="1" ht="15">
      <c r="A174" s="327" t="s">
        <v>2533</v>
      </c>
      <c r="B174" s="91"/>
      <c r="C174" s="72" t="s">
        <v>243</v>
      </c>
      <c r="D174" s="72">
        <v>2</v>
      </c>
    </row>
    <row r="175" spans="1:4" s="73" customFormat="1" ht="28.5">
      <c r="A175" s="92" t="s">
        <v>2534</v>
      </c>
      <c r="B175" s="72"/>
      <c r="C175" s="72" t="s">
        <v>243</v>
      </c>
      <c r="D175" s="72">
        <v>1</v>
      </c>
    </row>
    <row r="176" spans="1:4" s="94" customFormat="1" ht="15">
      <c r="A176" s="337" t="s">
        <v>2535</v>
      </c>
      <c r="B176" s="338"/>
      <c r="C176" s="199" t="s">
        <v>243</v>
      </c>
      <c r="D176" s="199">
        <v>6</v>
      </c>
    </row>
    <row r="177" spans="1:4" s="73" customFormat="1" ht="18" customHeight="1">
      <c r="A177" s="327" t="s">
        <v>2536</v>
      </c>
      <c r="B177" s="91"/>
      <c r="C177" s="72" t="s">
        <v>243</v>
      </c>
      <c r="D177" s="72">
        <v>1.5</v>
      </c>
    </row>
    <row r="178" spans="1:4" s="73" customFormat="1" ht="15">
      <c r="A178" s="327" t="s">
        <v>2537</v>
      </c>
      <c r="B178" s="91"/>
      <c r="C178" s="72" t="s">
        <v>243</v>
      </c>
      <c r="D178" s="72">
        <v>1</v>
      </c>
    </row>
    <row r="179" spans="1:4" s="73" customFormat="1" ht="15">
      <c r="A179" s="330" t="s">
        <v>2538</v>
      </c>
      <c r="B179" s="91"/>
      <c r="C179" s="72" t="s">
        <v>243</v>
      </c>
      <c r="D179" s="72">
        <v>1.5</v>
      </c>
    </row>
    <row r="180" spans="1:4" s="73" customFormat="1" ht="15">
      <c r="A180" s="327" t="s">
        <v>2539</v>
      </c>
      <c r="B180" s="91"/>
      <c r="C180" s="72" t="s">
        <v>243</v>
      </c>
      <c r="D180" s="72">
        <v>1</v>
      </c>
    </row>
    <row r="181" spans="1:4" s="73" customFormat="1" ht="28.5">
      <c r="A181" s="92" t="s">
        <v>2547</v>
      </c>
      <c r="B181" s="72"/>
      <c r="C181" s="72" t="s">
        <v>243</v>
      </c>
      <c r="D181" s="72">
        <v>4</v>
      </c>
    </row>
    <row r="182" spans="1:4" s="73" customFormat="1" ht="28.5">
      <c r="A182" s="327" t="s">
        <v>2548</v>
      </c>
      <c r="B182" s="91"/>
      <c r="C182" s="72" t="s">
        <v>243</v>
      </c>
      <c r="D182" s="72">
        <v>2</v>
      </c>
    </row>
    <row r="183" spans="1:4" s="73" customFormat="1" ht="18" customHeight="1">
      <c r="A183" s="327" t="s">
        <v>2452</v>
      </c>
      <c r="B183" s="91"/>
      <c r="C183" s="72" t="s">
        <v>243</v>
      </c>
      <c r="D183" s="72">
        <v>3.5</v>
      </c>
    </row>
    <row r="184" spans="1:4" s="73" customFormat="1" ht="15">
      <c r="A184" s="327" t="s">
        <v>2549</v>
      </c>
      <c r="B184" s="91"/>
      <c r="C184" s="72" t="s">
        <v>243</v>
      </c>
      <c r="D184" s="72">
        <v>1.5</v>
      </c>
    </row>
    <row r="185" spans="1:4" s="73" customFormat="1" ht="15">
      <c r="A185" s="330" t="s">
        <v>2550</v>
      </c>
      <c r="B185" s="91"/>
      <c r="C185" s="72" t="s">
        <v>243</v>
      </c>
      <c r="D185" s="72">
        <v>1.5</v>
      </c>
    </row>
    <row r="186" spans="1:4" s="73" customFormat="1" ht="28.5">
      <c r="A186" s="321" t="s">
        <v>2551</v>
      </c>
      <c r="B186" s="322"/>
      <c r="C186" s="72" t="s">
        <v>243</v>
      </c>
      <c r="D186" s="72">
        <v>3</v>
      </c>
    </row>
    <row r="187" spans="1:4" s="73" customFormat="1" ht="18" customHeight="1">
      <c r="A187" s="134" t="s">
        <v>609</v>
      </c>
      <c r="B187" s="135"/>
      <c r="C187" s="109" t="s">
        <v>243</v>
      </c>
      <c r="D187" s="109">
        <v>4</v>
      </c>
    </row>
    <row r="188" spans="1:4" s="73" customFormat="1" ht="15">
      <c r="A188" s="134" t="s">
        <v>605</v>
      </c>
      <c r="B188" s="135"/>
      <c r="C188" s="109" t="s">
        <v>243</v>
      </c>
      <c r="D188" s="109">
        <v>0.5</v>
      </c>
    </row>
    <row r="189" spans="1:4" ht="15">
      <c r="A189" s="134" t="s">
        <v>259</v>
      </c>
      <c r="B189" s="135"/>
      <c r="C189" s="109"/>
      <c r="D189" s="109">
        <v>1</v>
      </c>
    </row>
    <row r="190" spans="1:4" ht="15">
      <c r="A190" s="134" t="s">
        <v>265</v>
      </c>
      <c r="B190" s="135"/>
      <c r="C190" s="109"/>
      <c r="D190" s="109">
        <v>1</v>
      </c>
    </row>
    <row r="191" spans="1:4" ht="15">
      <c r="A191" s="134"/>
      <c r="B191" s="135"/>
      <c r="C191" s="109"/>
      <c r="D191" s="109"/>
    </row>
    <row r="192" spans="1:4" ht="15.75" thickBot="1">
      <c r="A192" s="546" t="s">
        <v>410</v>
      </c>
      <c r="B192" s="547"/>
      <c r="C192" s="109"/>
      <c r="D192" s="109"/>
    </row>
    <row r="193" spans="1:4" ht="15.75" thickBot="1">
      <c r="A193" s="397" t="s">
        <v>104</v>
      </c>
      <c r="B193" s="398"/>
      <c r="C193" s="77"/>
      <c r="D193" s="77"/>
    </row>
    <row r="194" spans="1:4" ht="15">
      <c r="A194" s="79"/>
      <c r="B194" s="79"/>
      <c r="C194" s="76"/>
      <c r="D194" s="76"/>
    </row>
    <row r="195" spans="1:4" ht="15.75">
      <c r="A195" s="394" t="s">
        <v>233</v>
      </c>
      <c r="B195" s="394"/>
      <c r="C195" s="394"/>
      <c r="D195" s="394"/>
    </row>
    <row r="196" spans="1:4" ht="15">
      <c r="A196" s="76"/>
      <c r="B196" s="76"/>
      <c r="C196" s="76"/>
      <c r="D196" s="76"/>
    </row>
    <row r="197" spans="1:4" ht="15.75">
      <c r="A197" s="394" t="s">
        <v>234</v>
      </c>
      <c r="B197" s="394"/>
      <c r="C197" s="394"/>
      <c r="D197" s="394"/>
    </row>
  </sheetData>
  <sheetProtection/>
  <mergeCells count="60">
    <mergeCell ref="A195:D195"/>
    <mergeCell ref="A197:D197"/>
    <mergeCell ref="A136:B136"/>
    <mergeCell ref="A137:B137"/>
    <mergeCell ref="A138:B138"/>
    <mergeCell ref="A139:B139"/>
    <mergeCell ref="A140:B140"/>
    <mergeCell ref="A141:B141"/>
    <mergeCell ref="A142:B142"/>
    <mergeCell ref="A192:B192"/>
    <mergeCell ref="A193:B193"/>
    <mergeCell ref="A150:B150"/>
    <mergeCell ref="A12:B12"/>
    <mergeCell ref="A39:B39"/>
    <mergeCell ref="A40:B40"/>
    <mergeCell ref="A41:B41"/>
    <mergeCell ref="A42:B42"/>
    <mergeCell ref="A14:B14"/>
    <mergeCell ref="A15:B15"/>
    <mergeCell ref="A37:B37"/>
    <mergeCell ref="A38:B38"/>
    <mergeCell ref="A20:B20"/>
    <mergeCell ref="A21:B21"/>
    <mergeCell ref="A22:B22"/>
    <mergeCell ref="A31:B31"/>
    <mergeCell ref="A33:B33"/>
    <mergeCell ref="A7:B7"/>
    <mergeCell ref="A8:B8"/>
    <mergeCell ref="A9:B9"/>
    <mergeCell ref="A10:B10"/>
    <mergeCell ref="A11:B11"/>
    <mergeCell ref="A1:D1"/>
    <mergeCell ref="A2:D2"/>
    <mergeCell ref="A3:D3"/>
    <mergeCell ref="A5:B5"/>
    <mergeCell ref="A6:B6"/>
    <mergeCell ref="A29:B29"/>
    <mergeCell ref="A30:B30"/>
    <mergeCell ref="A92:B92"/>
    <mergeCell ref="A94:B94"/>
    <mergeCell ref="A95:B95"/>
    <mergeCell ref="A66:B66"/>
    <mergeCell ref="A23:B23"/>
    <mergeCell ref="A24:B24"/>
    <mergeCell ref="A25:B25"/>
    <mergeCell ref="A26:B26"/>
    <mergeCell ref="A28:B28"/>
    <mergeCell ref="A128:B128"/>
    <mergeCell ref="A132:B132"/>
    <mergeCell ref="A118:B118"/>
    <mergeCell ref="A34:B34"/>
    <mergeCell ref="A35:B35"/>
    <mergeCell ref="A124:B124"/>
    <mergeCell ref="A36:B36"/>
    <mergeCell ref="A104:B104"/>
    <mergeCell ref="A105:B105"/>
    <mergeCell ref="A43:B43"/>
    <mergeCell ref="A117:B117"/>
    <mergeCell ref="A97:B97"/>
    <mergeCell ref="A96:B96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0"/>
  <sheetViews>
    <sheetView zoomScalePageLayoutView="0" workbookViewId="0" topLeftCell="A4">
      <selection activeCell="D18" sqref="D18:D19"/>
    </sheetView>
  </sheetViews>
  <sheetFormatPr defaultColWidth="9.140625" defaultRowHeight="15"/>
  <cols>
    <col min="1" max="1" width="87.28125" style="0" customWidth="1"/>
    <col min="2" max="2" width="3.28125" style="0" hidden="1" customWidth="1"/>
    <col min="3" max="3" width="26.8515625" style="0" customWidth="1"/>
  </cols>
  <sheetData>
    <row r="1" spans="1:4" ht="15.75">
      <c r="A1" s="381" t="s">
        <v>230</v>
      </c>
      <c r="B1" s="381"/>
      <c r="C1" s="381"/>
      <c r="D1" s="381"/>
    </row>
    <row r="2" spans="1:4" ht="15.75">
      <c r="A2" s="382" t="s">
        <v>264</v>
      </c>
      <c r="B2" s="382"/>
      <c r="C2" s="382"/>
      <c r="D2" s="382"/>
    </row>
    <row r="3" spans="1:4" s="55" customFormat="1" ht="15.75">
      <c r="A3" s="382" t="s">
        <v>674</v>
      </c>
      <c r="B3" s="382"/>
      <c r="C3" s="382"/>
      <c r="D3" s="382"/>
    </row>
    <row r="4" spans="1:4" s="55" customFormat="1" ht="15.75">
      <c r="A4" s="107"/>
      <c r="B4" s="107"/>
      <c r="C4" s="89"/>
      <c r="D4" s="89"/>
    </row>
    <row r="5" spans="1:4" ht="30">
      <c r="A5" s="383" t="s">
        <v>229</v>
      </c>
      <c r="B5" s="384"/>
      <c r="C5" s="86" t="s">
        <v>240</v>
      </c>
      <c r="D5" s="85" t="s">
        <v>530</v>
      </c>
    </row>
    <row r="6" spans="1:4" ht="15">
      <c r="A6" s="383" t="s">
        <v>229</v>
      </c>
      <c r="B6" s="384"/>
      <c r="C6" s="73"/>
      <c r="D6" s="73"/>
    </row>
    <row r="7" spans="1:4" ht="15.75" thickBot="1">
      <c r="A7" s="379" t="s">
        <v>0</v>
      </c>
      <c r="B7" s="380"/>
      <c r="C7" s="76"/>
      <c r="D7" s="76"/>
    </row>
    <row r="8" spans="1:4" ht="15.75" thickBot="1">
      <c r="A8" s="431" t="s">
        <v>29</v>
      </c>
      <c r="B8" s="432"/>
      <c r="C8" s="77"/>
      <c r="D8" s="77"/>
    </row>
    <row r="9" spans="1:4" ht="15.75" thickBot="1">
      <c r="A9" s="433" t="s">
        <v>306</v>
      </c>
      <c r="B9" s="434"/>
      <c r="C9" s="77"/>
      <c r="D9" s="77"/>
    </row>
    <row r="10" spans="1:4" ht="15.75" thickBot="1">
      <c r="A10" s="377" t="s">
        <v>56</v>
      </c>
      <c r="B10" s="378"/>
      <c r="C10" s="77"/>
      <c r="D10" s="77"/>
    </row>
    <row r="11" spans="1:4" ht="15.75" thickBot="1">
      <c r="A11" s="121" t="s">
        <v>409</v>
      </c>
      <c r="B11" s="122"/>
      <c r="C11" s="77"/>
      <c r="D11" s="77"/>
    </row>
    <row r="12" spans="1:4" ht="15.75" thickBot="1">
      <c r="A12" s="375" t="s">
        <v>57</v>
      </c>
      <c r="B12" s="376"/>
      <c r="C12" s="77"/>
      <c r="D12" s="77"/>
    </row>
    <row r="13" spans="1:4" s="73" customFormat="1" ht="30" customHeight="1" thickBot="1">
      <c r="A13" s="435" t="s">
        <v>440</v>
      </c>
      <c r="B13" s="436"/>
      <c r="C13" s="82" t="s">
        <v>441</v>
      </c>
      <c r="D13" s="77">
        <v>6</v>
      </c>
    </row>
    <row r="14" spans="1:4" ht="15.75" thickBot="1">
      <c r="A14" s="387" t="s">
        <v>64</v>
      </c>
      <c r="B14" s="377"/>
      <c r="C14" s="77"/>
      <c r="D14" s="77"/>
    </row>
    <row r="15" spans="1:4" ht="15">
      <c r="A15" s="388" t="s">
        <v>66</v>
      </c>
      <c r="B15" s="389"/>
      <c r="C15" s="77"/>
      <c r="D15" s="77"/>
    </row>
    <row r="16" spans="1:4" ht="15">
      <c r="A16" s="60" t="s">
        <v>68</v>
      </c>
      <c r="B16" s="61"/>
      <c r="C16" s="77"/>
      <c r="D16" s="77"/>
    </row>
    <row r="17" spans="1:4" ht="15">
      <c r="A17" s="390" t="s">
        <v>90</v>
      </c>
      <c r="B17" s="391"/>
      <c r="C17" s="77"/>
      <c r="D17" s="77"/>
    </row>
    <row r="18" spans="1:4" s="73" customFormat="1" ht="15" customHeight="1">
      <c r="A18" s="401" t="s">
        <v>675</v>
      </c>
      <c r="B18" s="402"/>
      <c r="C18" s="72" t="s">
        <v>447</v>
      </c>
      <c r="D18" s="72">
        <v>2</v>
      </c>
    </row>
    <row r="19" spans="1:4" s="73" customFormat="1" ht="17.25" customHeight="1">
      <c r="A19" s="401" t="s">
        <v>731</v>
      </c>
      <c r="B19" s="402"/>
      <c r="C19" s="105" t="s">
        <v>592</v>
      </c>
      <c r="D19" s="72">
        <v>6</v>
      </c>
    </row>
    <row r="20" spans="1:4" s="73" customFormat="1" ht="15">
      <c r="A20" s="437" t="s">
        <v>601</v>
      </c>
      <c r="B20" s="438"/>
      <c r="C20" s="77" t="s">
        <v>342</v>
      </c>
      <c r="D20" s="77">
        <v>1.5</v>
      </c>
    </row>
    <row r="21" spans="1:4" s="73" customFormat="1" ht="15">
      <c r="A21" s="127"/>
      <c r="B21" s="128"/>
      <c r="C21" s="77"/>
      <c r="D21" s="77"/>
    </row>
    <row r="22" spans="1:4" ht="15.75" customHeight="1">
      <c r="A22" s="439" t="s">
        <v>540</v>
      </c>
      <c r="B22" s="440"/>
      <c r="C22" s="77" t="s">
        <v>279</v>
      </c>
      <c r="D22" s="77">
        <f>2+2</f>
        <v>4</v>
      </c>
    </row>
    <row r="23" spans="1:4" ht="15.75" customHeight="1">
      <c r="A23" s="439" t="s">
        <v>541</v>
      </c>
      <c r="B23" s="440"/>
      <c r="C23" s="77" t="s">
        <v>400</v>
      </c>
      <c r="D23" s="77">
        <v>2</v>
      </c>
    </row>
    <row r="24" spans="1:4" ht="15.75" customHeight="1">
      <c r="A24" s="439" t="s">
        <v>538</v>
      </c>
      <c r="B24" s="440"/>
      <c r="C24" s="77" t="s">
        <v>461</v>
      </c>
      <c r="D24" s="77">
        <v>1.5</v>
      </c>
    </row>
    <row r="25" spans="1:4" ht="15.75" customHeight="1">
      <c r="A25" s="444" t="s">
        <v>539</v>
      </c>
      <c r="B25" s="444"/>
      <c r="C25" s="77" t="s">
        <v>279</v>
      </c>
      <c r="D25" s="77">
        <v>3.5</v>
      </c>
    </row>
    <row r="26" spans="1:4" ht="15.75" customHeight="1">
      <c r="A26" s="99"/>
      <c r="B26" s="71"/>
      <c r="C26" s="77"/>
      <c r="D26" s="77"/>
    </row>
    <row r="27" spans="1:4" ht="15.75" customHeight="1" thickBot="1">
      <c r="A27" s="99"/>
      <c r="B27" s="71"/>
      <c r="C27" s="77"/>
      <c r="D27" s="77"/>
    </row>
    <row r="28" spans="1:4" ht="15.75" thickBot="1">
      <c r="A28" s="377" t="s">
        <v>99</v>
      </c>
      <c r="B28" s="378"/>
      <c r="C28" s="77"/>
      <c r="D28" s="77"/>
    </row>
    <row r="29" spans="1:4" ht="30.75" thickBot="1">
      <c r="A29" s="441" t="s">
        <v>100</v>
      </c>
      <c r="B29" s="442"/>
      <c r="C29" s="78" t="s">
        <v>408</v>
      </c>
      <c r="D29" s="78" t="s">
        <v>407</v>
      </c>
    </row>
    <row r="30" spans="1:4" ht="15.75" thickBot="1">
      <c r="A30" s="377" t="s">
        <v>101</v>
      </c>
      <c r="B30" s="378"/>
      <c r="C30" s="77"/>
      <c r="D30" s="77"/>
    </row>
    <row r="31" spans="1:4" ht="15.75" thickBot="1">
      <c r="A31" s="443" t="s">
        <v>102</v>
      </c>
      <c r="B31" s="375"/>
      <c r="C31" s="77" t="s">
        <v>243</v>
      </c>
      <c r="D31" s="77"/>
    </row>
    <row r="32" spans="1:4" s="73" customFormat="1" ht="15">
      <c r="A32" s="95" t="s">
        <v>606</v>
      </c>
      <c r="B32" s="70"/>
      <c r="C32" s="77" t="s">
        <v>243</v>
      </c>
      <c r="D32" s="77">
        <v>1.5</v>
      </c>
    </row>
    <row r="33" spans="1:4" ht="15">
      <c r="A33" s="95" t="s">
        <v>273</v>
      </c>
      <c r="B33" s="70"/>
      <c r="C33" s="77"/>
      <c r="D33" s="77">
        <v>1.5</v>
      </c>
    </row>
    <row r="34" spans="1:4" ht="15.75" thickBot="1">
      <c r="A34" s="395" t="s">
        <v>410</v>
      </c>
      <c r="B34" s="396"/>
      <c r="C34" s="77"/>
      <c r="D34" s="77"/>
    </row>
    <row r="35" spans="1:4" ht="15.75" thickBot="1">
      <c r="A35" s="397" t="s">
        <v>104</v>
      </c>
      <c r="B35" s="398"/>
      <c r="C35" s="77"/>
      <c r="D35" s="77"/>
    </row>
    <row r="36" spans="1:4" ht="15">
      <c r="A36" s="79"/>
      <c r="B36" s="79"/>
      <c r="C36" s="76"/>
      <c r="D36" s="76"/>
    </row>
    <row r="37" spans="1:4" ht="15.75">
      <c r="A37" s="394" t="s">
        <v>233</v>
      </c>
      <c r="B37" s="394"/>
      <c r="C37" s="394"/>
      <c r="D37" s="394"/>
    </row>
    <row r="38" spans="1:4" ht="15">
      <c r="A38" s="76"/>
      <c r="B38" s="76"/>
      <c r="C38" s="76"/>
      <c r="D38" s="76"/>
    </row>
    <row r="39" spans="1:4" ht="15.75">
      <c r="A39" s="394" t="s">
        <v>234</v>
      </c>
      <c r="B39" s="394"/>
      <c r="C39" s="394"/>
      <c r="D39" s="394"/>
    </row>
    <row r="40" spans="1:4" ht="15">
      <c r="A40" s="76"/>
      <c r="B40" s="76"/>
      <c r="C40" s="76"/>
      <c r="D40" s="76"/>
    </row>
  </sheetData>
  <sheetProtection/>
  <mergeCells count="29">
    <mergeCell ref="A37:D37"/>
    <mergeCell ref="A39:D39"/>
    <mergeCell ref="A19:B19"/>
    <mergeCell ref="A20:B20"/>
    <mergeCell ref="A22:B22"/>
    <mergeCell ref="A28:B28"/>
    <mergeCell ref="A29:B29"/>
    <mergeCell ref="A30:B30"/>
    <mergeCell ref="A31:B31"/>
    <mergeCell ref="A34:B34"/>
    <mergeCell ref="A35:B35"/>
    <mergeCell ref="A24:B24"/>
    <mergeCell ref="A25:B25"/>
    <mergeCell ref="A23:B23"/>
    <mergeCell ref="A18:B18"/>
    <mergeCell ref="A10:B10"/>
    <mergeCell ref="A12:B12"/>
    <mergeCell ref="A13:B13"/>
    <mergeCell ref="A14:B14"/>
    <mergeCell ref="A15:B15"/>
    <mergeCell ref="A17:B17"/>
    <mergeCell ref="A7:B7"/>
    <mergeCell ref="A8:B8"/>
    <mergeCell ref="A9:B9"/>
    <mergeCell ref="A1:D1"/>
    <mergeCell ref="A2:D2"/>
    <mergeCell ref="A3:D3"/>
    <mergeCell ref="A5:B5"/>
    <mergeCell ref="A6:B6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E185"/>
  <sheetViews>
    <sheetView zoomScalePageLayoutView="0" workbookViewId="0" topLeftCell="A154">
      <selection activeCell="A177" sqref="A177:IV177"/>
    </sheetView>
  </sheetViews>
  <sheetFormatPr defaultColWidth="9.140625" defaultRowHeight="15"/>
  <cols>
    <col min="1" max="1" width="80.8515625" style="0" customWidth="1"/>
    <col min="2" max="2" width="3.28125" style="0" hidden="1" customWidth="1"/>
    <col min="3" max="3" width="24.140625" style="0" customWidth="1"/>
  </cols>
  <sheetData>
    <row r="1" spans="1:4" ht="15.75">
      <c r="A1" s="381" t="s">
        <v>230</v>
      </c>
      <c r="B1" s="381"/>
      <c r="C1" s="381"/>
      <c r="D1" s="381"/>
    </row>
    <row r="2" spans="1:4" ht="15.75">
      <c r="A2" s="382" t="s">
        <v>252</v>
      </c>
      <c r="B2" s="382"/>
      <c r="C2" s="382"/>
      <c r="D2" s="382"/>
    </row>
    <row r="3" spans="1:4" s="55" customFormat="1" ht="15.75">
      <c r="A3" s="382" t="s">
        <v>2552</v>
      </c>
      <c r="B3" s="382"/>
      <c r="C3" s="382"/>
      <c r="D3" s="382"/>
    </row>
    <row r="4" spans="1:4" s="55" customFormat="1" ht="15.75">
      <c r="A4" s="96"/>
      <c r="B4" s="96"/>
      <c r="C4" s="89"/>
      <c r="D4" s="89"/>
    </row>
    <row r="5" spans="1:4" ht="30">
      <c r="A5" s="383" t="s">
        <v>229</v>
      </c>
      <c r="B5" s="384"/>
      <c r="C5" s="86" t="s">
        <v>231</v>
      </c>
      <c r="D5" s="85" t="s">
        <v>530</v>
      </c>
    </row>
    <row r="6" spans="1:4" ht="15">
      <c r="A6" s="383" t="s">
        <v>229</v>
      </c>
      <c r="B6" s="384"/>
      <c r="C6" s="73"/>
      <c r="D6" s="73"/>
    </row>
    <row r="7" spans="1:4" ht="15.75" thickBot="1">
      <c r="A7" s="379" t="s">
        <v>0</v>
      </c>
      <c r="B7" s="380"/>
      <c r="C7" s="76"/>
      <c r="D7" s="76"/>
    </row>
    <row r="8" spans="1:4" ht="15">
      <c r="A8" s="435" t="s">
        <v>24</v>
      </c>
      <c r="B8" s="436"/>
      <c r="C8" s="77"/>
      <c r="D8" s="77"/>
    </row>
    <row r="9" spans="1:4" ht="15">
      <c r="A9" s="435" t="s">
        <v>236</v>
      </c>
      <c r="B9" s="436"/>
      <c r="C9" s="77"/>
      <c r="D9" s="77"/>
    </row>
    <row r="10" spans="1:4" ht="15.75" thickBot="1">
      <c r="A10" s="451" t="s">
        <v>28</v>
      </c>
      <c r="B10" s="445"/>
      <c r="C10" s="77"/>
      <c r="D10" s="77"/>
    </row>
    <row r="11" spans="1:4" ht="15.75" thickBot="1">
      <c r="A11" s="375" t="s">
        <v>29</v>
      </c>
      <c r="B11" s="376"/>
      <c r="C11" s="77"/>
      <c r="D11" s="77"/>
    </row>
    <row r="12" spans="1:4" ht="15">
      <c r="A12" s="433" t="s">
        <v>45</v>
      </c>
      <c r="B12" s="434"/>
      <c r="C12" s="77"/>
      <c r="D12" s="77"/>
    </row>
    <row r="13" spans="1:4" ht="15">
      <c r="A13" s="72" t="s">
        <v>788</v>
      </c>
      <c r="B13" s="72"/>
      <c r="C13" s="72"/>
      <c r="D13" s="72">
        <v>145.84</v>
      </c>
    </row>
    <row r="14" spans="1:4" s="73" customFormat="1" ht="15.75" thickBot="1">
      <c r="A14" s="358" t="s">
        <v>2647</v>
      </c>
      <c r="B14" s="359"/>
      <c r="C14" s="72" t="s">
        <v>358</v>
      </c>
      <c r="D14" s="72">
        <v>2</v>
      </c>
    </row>
    <row r="15" spans="1:4" ht="15.75" thickBot="1">
      <c r="A15" s="377" t="s">
        <v>56</v>
      </c>
      <c r="B15" s="378"/>
      <c r="C15" s="77"/>
      <c r="D15" s="77"/>
    </row>
    <row r="16" spans="1:4" ht="15.75" thickBot="1">
      <c r="A16" s="375" t="s">
        <v>57</v>
      </c>
      <c r="B16" s="376"/>
      <c r="C16" s="77"/>
      <c r="D16" s="77"/>
    </row>
    <row r="17" spans="1:4" ht="15.75" thickBot="1">
      <c r="A17" s="309" t="s">
        <v>2564</v>
      </c>
      <c r="B17" s="306"/>
      <c r="C17" s="72" t="s">
        <v>347</v>
      </c>
      <c r="D17" s="72">
        <f>2*130+1.5*130</f>
        <v>455</v>
      </c>
    </row>
    <row r="18" spans="1:4" ht="15.75" thickBot="1">
      <c r="A18" s="309" t="s">
        <v>2565</v>
      </c>
      <c r="B18" s="306"/>
      <c r="C18" s="72" t="s">
        <v>347</v>
      </c>
      <c r="D18" s="72">
        <f>2*130+130*1.5</f>
        <v>455</v>
      </c>
    </row>
    <row r="19" spans="1:4" ht="15.75" thickBot="1">
      <c r="A19" s="309" t="s">
        <v>2160</v>
      </c>
      <c r="B19" s="306"/>
      <c r="C19" s="72" t="s">
        <v>360</v>
      </c>
      <c r="D19" s="72">
        <f>0.5*130</f>
        <v>65</v>
      </c>
    </row>
    <row r="20" spans="1:4" ht="15">
      <c r="A20" s="399" t="s">
        <v>2574</v>
      </c>
      <c r="B20" s="400"/>
      <c r="C20" s="181" t="s">
        <v>279</v>
      </c>
      <c r="D20" s="199">
        <v>2</v>
      </c>
    </row>
    <row r="21" spans="1:4" ht="15" customHeight="1">
      <c r="A21" s="399" t="s">
        <v>1230</v>
      </c>
      <c r="B21" s="400"/>
      <c r="C21" s="181" t="s">
        <v>359</v>
      </c>
      <c r="D21" s="199">
        <f>1.2+1.2</f>
        <v>2.4</v>
      </c>
    </row>
    <row r="22" spans="1:4" ht="15">
      <c r="A22" s="400" t="s">
        <v>2575</v>
      </c>
      <c r="B22" s="448"/>
      <c r="C22" s="181" t="s">
        <v>390</v>
      </c>
      <c r="D22" s="199">
        <v>2</v>
      </c>
    </row>
    <row r="23" spans="1:4" ht="15">
      <c r="A23" s="399" t="s">
        <v>2409</v>
      </c>
      <c r="B23" s="400"/>
      <c r="C23" s="72" t="s">
        <v>400</v>
      </c>
      <c r="D23" s="72">
        <v>0.8</v>
      </c>
    </row>
    <row r="24" spans="1:4" s="73" customFormat="1" ht="15">
      <c r="A24" s="399" t="s">
        <v>2587</v>
      </c>
      <c r="B24" s="400"/>
      <c r="C24" s="72" t="s">
        <v>433</v>
      </c>
      <c r="D24" s="72">
        <v>2</v>
      </c>
    </row>
    <row r="25" spans="1:4" s="73" customFormat="1" ht="15" customHeight="1">
      <c r="A25" s="399" t="s">
        <v>2588</v>
      </c>
      <c r="B25" s="400"/>
      <c r="C25" s="72" t="s">
        <v>359</v>
      </c>
      <c r="D25" s="72">
        <v>4</v>
      </c>
    </row>
    <row r="26" spans="1:4" s="73" customFormat="1" ht="15">
      <c r="A26" s="399" t="s">
        <v>556</v>
      </c>
      <c r="B26" s="400"/>
      <c r="C26" s="72" t="s">
        <v>468</v>
      </c>
      <c r="D26" s="72">
        <f>2+3</f>
        <v>5</v>
      </c>
    </row>
    <row r="27" spans="1:4" s="73" customFormat="1" ht="19.5" customHeight="1">
      <c r="A27" s="399" t="s">
        <v>571</v>
      </c>
      <c r="B27" s="400"/>
      <c r="C27" s="105" t="s">
        <v>485</v>
      </c>
      <c r="D27" s="72">
        <v>2</v>
      </c>
    </row>
    <row r="28" spans="1:4" s="73" customFormat="1" ht="15">
      <c r="A28" s="400" t="s">
        <v>580</v>
      </c>
      <c r="B28" s="448"/>
      <c r="C28" s="72" t="s">
        <v>577</v>
      </c>
      <c r="D28" s="72">
        <v>3.5</v>
      </c>
    </row>
    <row r="29" spans="1:4" s="73" customFormat="1" ht="15">
      <c r="A29" s="400" t="s">
        <v>1286</v>
      </c>
      <c r="B29" s="448"/>
      <c r="C29" s="72" t="s">
        <v>1287</v>
      </c>
      <c r="D29" s="72">
        <v>4.5</v>
      </c>
    </row>
    <row r="30" spans="1:4" s="73" customFormat="1" ht="15">
      <c r="A30" s="72" t="s">
        <v>1717</v>
      </c>
      <c r="B30" s="72"/>
      <c r="C30" s="72" t="s">
        <v>1718</v>
      </c>
      <c r="D30" s="72">
        <v>3</v>
      </c>
    </row>
    <row r="31" spans="1:4" s="73" customFormat="1" ht="15">
      <c r="A31" s="400" t="s">
        <v>2423</v>
      </c>
      <c r="B31" s="448"/>
      <c r="C31" s="72" t="s">
        <v>2424</v>
      </c>
      <c r="D31" s="72">
        <v>5</v>
      </c>
    </row>
    <row r="32" spans="1:4" s="73" customFormat="1" ht="33" customHeight="1">
      <c r="A32" s="400" t="s">
        <v>2633</v>
      </c>
      <c r="B32" s="448"/>
      <c r="C32" s="72" t="s">
        <v>2634</v>
      </c>
      <c r="D32" s="72">
        <v>1</v>
      </c>
    </row>
    <row r="33" spans="1:5" s="73" customFormat="1" ht="27" customHeight="1">
      <c r="A33" s="105" t="s">
        <v>2635</v>
      </c>
      <c r="B33" s="77"/>
      <c r="C33" s="72" t="s">
        <v>2634</v>
      </c>
      <c r="D33" s="72">
        <v>1</v>
      </c>
      <c r="E33" s="76"/>
    </row>
    <row r="34" spans="1:4" s="73" customFormat="1" ht="45" customHeight="1">
      <c r="A34" s="400" t="s">
        <v>2636</v>
      </c>
      <c r="B34" s="448"/>
      <c r="C34" s="72" t="s">
        <v>2634</v>
      </c>
      <c r="D34" s="72">
        <v>2</v>
      </c>
    </row>
    <row r="35" spans="1:4" s="73" customFormat="1" ht="12.75" customHeight="1">
      <c r="A35" s="400" t="s">
        <v>1829</v>
      </c>
      <c r="B35" s="448"/>
      <c r="C35" s="72" t="s">
        <v>1830</v>
      </c>
      <c r="D35" s="72">
        <v>1.5</v>
      </c>
    </row>
    <row r="36" spans="1:4" s="73" customFormat="1" ht="15">
      <c r="A36" s="400" t="s">
        <v>1832</v>
      </c>
      <c r="B36" s="448"/>
      <c r="C36" s="72" t="s">
        <v>1833</v>
      </c>
      <c r="D36" s="72">
        <v>3</v>
      </c>
    </row>
    <row r="37" spans="1:4" s="73" customFormat="1" ht="15">
      <c r="A37" s="435" t="s">
        <v>556</v>
      </c>
      <c r="B37" s="436"/>
      <c r="C37" s="77" t="s">
        <v>468</v>
      </c>
      <c r="D37" s="77">
        <f>2+3</f>
        <v>5</v>
      </c>
    </row>
    <row r="38" spans="1:4" s="73" customFormat="1" ht="19.5" customHeight="1">
      <c r="A38" s="435" t="s">
        <v>571</v>
      </c>
      <c r="B38" s="436"/>
      <c r="C38" s="82" t="s">
        <v>485</v>
      </c>
      <c r="D38" s="77">
        <v>2</v>
      </c>
    </row>
    <row r="39" spans="1:4" s="73" customFormat="1" ht="15">
      <c r="A39" s="436" t="s">
        <v>580</v>
      </c>
      <c r="B39" s="447"/>
      <c r="C39" s="77" t="s">
        <v>577</v>
      </c>
      <c r="D39" s="77">
        <v>3.5</v>
      </c>
    </row>
    <row r="40" spans="1:4" ht="15">
      <c r="A40" s="436" t="s">
        <v>61</v>
      </c>
      <c r="B40" s="447"/>
      <c r="C40" s="77"/>
      <c r="D40" s="77"/>
    </row>
    <row r="41" spans="1:4" ht="15" customHeight="1">
      <c r="A41" s="436" t="s">
        <v>62</v>
      </c>
      <c r="B41" s="447"/>
      <c r="C41" s="77"/>
      <c r="D41" s="77"/>
    </row>
    <row r="42" spans="1:4" ht="15.75" customHeight="1" thickBot="1">
      <c r="A42" s="445" t="s">
        <v>63</v>
      </c>
      <c r="B42" s="446"/>
      <c r="C42" s="77"/>
      <c r="D42" s="77"/>
    </row>
    <row r="43" spans="1:4" ht="15.75" thickBot="1">
      <c r="A43" s="387" t="s">
        <v>64</v>
      </c>
      <c r="B43" s="377"/>
      <c r="C43" s="77"/>
      <c r="D43" s="77"/>
    </row>
    <row r="44" spans="1:4" ht="15">
      <c r="A44" s="388" t="s">
        <v>66</v>
      </c>
      <c r="B44" s="389"/>
      <c r="C44" s="77"/>
      <c r="D44" s="77"/>
    </row>
    <row r="45" spans="1:4" ht="15">
      <c r="A45" s="60" t="s">
        <v>68</v>
      </c>
      <c r="B45" s="61"/>
      <c r="C45" s="77"/>
      <c r="D45" s="77"/>
    </row>
    <row r="46" spans="1:4" ht="15">
      <c r="A46" s="276" t="s">
        <v>2553</v>
      </c>
      <c r="B46" s="269"/>
      <c r="C46" s="72" t="s">
        <v>279</v>
      </c>
      <c r="D46" s="72">
        <f>1.5*130</f>
        <v>195</v>
      </c>
    </row>
    <row r="47" spans="1:4" ht="15" customHeight="1">
      <c r="A47" s="87" t="s">
        <v>2485</v>
      </c>
      <c r="B47" s="140"/>
      <c r="C47" s="181" t="s">
        <v>328</v>
      </c>
      <c r="D47" s="199">
        <v>1</v>
      </c>
    </row>
    <row r="48" spans="1:4" ht="15" customHeight="1">
      <c r="A48" s="87" t="s">
        <v>327</v>
      </c>
      <c r="B48" s="140"/>
      <c r="C48" s="181" t="s">
        <v>370</v>
      </c>
      <c r="D48" s="199">
        <v>0.5</v>
      </c>
    </row>
    <row r="49" spans="1:4" ht="15">
      <c r="A49" s="87" t="s">
        <v>2403</v>
      </c>
      <c r="B49" s="140"/>
      <c r="C49" s="181" t="s">
        <v>400</v>
      </c>
      <c r="D49" s="199">
        <v>0.5</v>
      </c>
    </row>
    <row r="50" spans="1:4" ht="15" customHeight="1">
      <c r="A50" s="87" t="s">
        <v>2582</v>
      </c>
      <c r="B50" s="63"/>
      <c r="C50" s="72" t="s">
        <v>279</v>
      </c>
      <c r="D50" s="72">
        <v>2</v>
      </c>
    </row>
    <row r="51" spans="1:4" ht="15" customHeight="1">
      <c r="A51" s="87" t="s">
        <v>2583</v>
      </c>
      <c r="B51" s="63"/>
      <c r="C51" s="72" t="s">
        <v>279</v>
      </c>
      <c r="D51" s="72">
        <v>2</v>
      </c>
    </row>
    <row r="52" spans="1:4" ht="15" customHeight="1">
      <c r="A52" s="87" t="s">
        <v>2584</v>
      </c>
      <c r="B52" s="63"/>
      <c r="C52" s="72" t="s">
        <v>370</v>
      </c>
      <c r="D52" s="72">
        <v>5</v>
      </c>
    </row>
    <row r="53" spans="1:4" s="73" customFormat="1" ht="15" customHeight="1">
      <c r="A53" s="87" t="s">
        <v>2413</v>
      </c>
      <c r="B53" s="88"/>
      <c r="C53" s="72" t="s">
        <v>400</v>
      </c>
      <c r="D53" s="72">
        <v>0.5</v>
      </c>
    </row>
    <row r="54" spans="1:4" s="73" customFormat="1" ht="15" customHeight="1">
      <c r="A54" s="87" t="s">
        <v>453</v>
      </c>
      <c r="B54" s="88"/>
      <c r="C54" s="72" t="s">
        <v>454</v>
      </c>
      <c r="D54" s="72">
        <v>0.6</v>
      </c>
    </row>
    <row r="55" spans="1:4" s="73" customFormat="1" ht="15" customHeight="1">
      <c r="A55" s="87" t="s">
        <v>455</v>
      </c>
      <c r="B55" s="88"/>
      <c r="C55" s="72" t="s">
        <v>400</v>
      </c>
      <c r="D55" s="72">
        <v>0.3</v>
      </c>
    </row>
    <row r="56" spans="1:4" s="73" customFormat="1" ht="15" customHeight="1">
      <c r="A56" s="87" t="s">
        <v>524</v>
      </c>
      <c r="B56" s="88"/>
      <c r="C56" s="72" t="s">
        <v>371</v>
      </c>
      <c r="D56" s="72">
        <v>2.7</v>
      </c>
    </row>
    <row r="57" spans="1:4" s="73" customFormat="1" ht="15" customHeight="1">
      <c r="A57" s="202" t="s">
        <v>525</v>
      </c>
      <c r="B57" s="254"/>
      <c r="C57" s="72" t="s">
        <v>526</v>
      </c>
      <c r="D57" s="72">
        <v>2.8</v>
      </c>
    </row>
    <row r="58" spans="1:4" s="73" customFormat="1" ht="15" customHeight="1">
      <c r="A58" s="87" t="s">
        <v>725</v>
      </c>
      <c r="B58" s="88"/>
      <c r="C58" s="72" t="s">
        <v>724</v>
      </c>
      <c r="D58" s="72">
        <v>3</v>
      </c>
    </row>
    <row r="59" spans="1:4" s="73" customFormat="1" ht="15">
      <c r="A59" s="87" t="s">
        <v>773</v>
      </c>
      <c r="B59" s="93"/>
      <c r="C59" s="72" t="s">
        <v>784</v>
      </c>
      <c r="D59" s="72">
        <v>2</v>
      </c>
    </row>
    <row r="60" spans="1:4" s="73" customFormat="1" ht="15" customHeight="1">
      <c r="A60" s="87" t="s">
        <v>2596</v>
      </c>
      <c r="B60" s="88"/>
      <c r="C60" s="72" t="s">
        <v>613</v>
      </c>
      <c r="D60" s="72">
        <v>3</v>
      </c>
    </row>
    <row r="61" spans="1:4" s="73" customFormat="1" ht="15">
      <c r="A61" s="87" t="s">
        <v>2597</v>
      </c>
      <c r="B61" s="93"/>
      <c r="C61" s="72" t="s">
        <v>592</v>
      </c>
      <c r="D61" s="72">
        <v>4</v>
      </c>
    </row>
    <row r="62" spans="1:4" s="73" customFormat="1" ht="15" customHeight="1">
      <c r="A62" s="87" t="s">
        <v>2611</v>
      </c>
      <c r="B62" s="88"/>
      <c r="C62" s="72" t="s">
        <v>2612</v>
      </c>
      <c r="D62" s="72">
        <v>1</v>
      </c>
    </row>
    <row r="63" spans="1:4" s="73" customFormat="1" ht="15">
      <c r="A63" s="87" t="s">
        <v>2613</v>
      </c>
      <c r="B63" s="93"/>
      <c r="C63" s="72" t="s">
        <v>381</v>
      </c>
      <c r="D63" s="72">
        <v>4</v>
      </c>
    </row>
    <row r="64" spans="1:4" s="73" customFormat="1" ht="33.75" customHeight="1">
      <c r="A64" s="108" t="s">
        <v>2637</v>
      </c>
      <c r="B64" s="88"/>
      <c r="C64" s="72" t="s">
        <v>279</v>
      </c>
      <c r="D64" s="72">
        <v>1</v>
      </c>
    </row>
    <row r="65" spans="1:4" s="73" customFormat="1" ht="15" customHeight="1">
      <c r="A65" s="62" t="s">
        <v>455</v>
      </c>
      <c r="B65" s="63"/>
      <c r="C65" s="77" t="s">
        <v>400</v>
      </c>
      <c r="D65" s="77">
        <v>0.3</v>
      </c>
    </row>
    <row r="66" spans="1:4" s="73" customFormat="1" ht="15" customHeight="1">
      <c r="A66" s="62" t="s">
        <v>524</v>
      </c>
      <c r="B66" s="63"/>
      <c r="C66" s="77" t="s">
        <v>371</v>
      </c>
      <c r="D66" s="77">
        <v>2.7</v>
      </c>
    </row>
    <row r="67" spans="1:4" s="73" customFormat="1" ht="15" customHeight="1">
      <c r="A67" s="64" t="s">
        <v>525</v>
      </c>
      <c r="B67" s="65"/>
      <c r="C67" s="77" t="s">
        <v>526</v>
      </c>
      <c r="D67" s="77">
        <v>2.8</v>
      </c>
    </row>
    <row r="68" spans="1:4" ht="15" customHeight="1">
      <c r="A68" s="66" t="s">
        <v>80</v>
      </c>
      <c r="B68" s="67"/>
      <c r="C68" s="77"/>
      <c r="D68" s="77"/>
    </row>
    <row r="69" spans="1:4" ht="15" customHeight="1">
      <c r="A69" s="64" t="s">
        <v>82</v>
      </c>
      <c r="B69" s="65"/>
      <c r="C69" s="77"/>
      <c r="D69" s="77"/>
    </row>
    <row r="70" spans="1:4" ht="15">
      <c r="A70" s="64" t="s">
        <v>84</v>
      </c>
      <c r="B70" s="65"/>
      <c r="C70" s="77"/>
      <c r="D70" s="77"/>
    </row>
    <row r="71" spans="1:4" ht="15" customHeight="1">
      <c r="A71" s="64" t="s">
        <v>86</v>
      </c>
      <c r="B71" s="65"/>
      <c r="C71" s="77"/>
      <c r="D71" s="77"/>
    </row>
    <row r="72" spans="1:4" ht="15" customHeight="1">
      <c r="A72" s="68" t="s">
        <v>88</v>
      </c>
      <c r="B72" s="69"/>
      <c r="C72" s="77"/>
      <c r="D72" s="77"/>
    </row>
    <row r="73" spans="1:4" ht="15">
      <c r="A73" s="390" t="s">
        <v>90</v>
      </c>
      <c r="B73" s="391"/>
      <c r="C73" s="77"/>
      <c r="D73" s="77"/>
    </row>
    <row r="74" spans="1:4" ht="15">
      <c r="A74" s="327" t="s">
        <v>2554</v>
      </c>
      <c r="B74" s="91"/>
      <c r="C74" s="72" t="s">
        <v>463</v>
      </c>
      <c r="D74" s="72">
        <f>3*2*130</f>
        <v>780</v>
      </c>
    </row>
    <row r="75" spans="1:4" ht="15">
      <c r="A75" s="327" t="s">
        <v>2555</v>
      </c>
      <c r="B75" s="91"/>
      <c r="C75" s="72" t="s">
        <v>714</v>
      </c>
      <c r="D75" s="72">
        <f>1.5*2*130</f>
        <v>390</v>
      </c>
    </row>
    <row r="76" spans="1:4" ht="15">
      <c r="A76" s="327" t="s">
        <v>2556</v>
      </c>
      <c r="B76" s="91"/>
      <c r="C76" s="72" t="s">
        <v>279</v>
      </c>
      <c r="D76" s="72">
        <f>1.48*130</f>
        <v>192.4</v>
      </c>
    </row>
    <row r="77" spans="1:4" ht="15">
      <c r="A77" s="327" t="s">
        <v>1736</v>
      </c>
      <c r="B77" s="91"/>
      <c r="C77" s="72" t="s">
        <v>279</v>
      </c>
      <c r="D77" s="72">
        <f>130*0.5</f>
        <v>65</v>
      </c>
    </row>
    <row r="78" spans="1:4" ht="15">
      <c r="A78" s="327" t="s">
        <v>791</v>
      </c>
      <c r="B78" s="91"/>
      <c r="C78" s="72" t="s">
        <v>360</v>
      </c>
      <c r="D78" s="72">
        <f>0.4*130</f>
        <v>52</v>
      </c>
    </row>
    <row r="79" spans="1:4" ht="15">
      <c r="A79" s="327" t="s">
        <v>2557</v>
      </c>
      <c r="B79" s="91"/>
      <c r="C79" s="72" t="s">
        <v>342</v>
      </c>
      <c r="D79" s="72">
        <v>130</v>
      </c>
    </row>
    <row r="80" spans="1:4" ht="15">
      <c r="A80" s="327" t="s">
        <v>1737</v>
      </c>
      <c r="B80" s="91"/>
      <c r="C80" s="72" t="s">
        <v>279</v>
      </c>
      <c r="D80" s="72">
        <f>130*0.5</f>
        <v>65</v>
      </c>
    </row>
    <row r="81" spans="1:4" ht="15">
      <c r="A81" s="330" t="s">
        <v>2558</v>
      </c>
      <c r="B81" s="91"/>
      <c r="C81" s="72" t="s">
        <v>342</v>
      </c>
      <c r="D81" s="72">
        <v>130</v>
      </c>
    </row>
    <row r="82" spans="1:4" ht="15.75" thickBot="1">
      <c r="A82" s="330" t="s">
        <v>2559</v>
      </c>
      <c r="B82" s="91"/>
      <c r="C82" s="72" t="s">
        <v>342</v>
      </c>
      <c r="D82" s="72">
        <f>1.5*130</f>
        <v>195</v>
      </c>
    </row>
    <row r="83" spans="1:4" s="94" customFormat="1" ht="20.25" customHeight="1" thickBot="1">
      <c r="A83" s="326" t="s">
        <v>2560</v>
      </c>
      <c r="B83" s="306"/>
      <c r="C83" s="72" t="s">
        <v>279</v>
      </c>
      <c r="D83" s="72">
        <f>2*130</f>
        <v>260</v>
      </c>
    </row>
    <row r="84" spans="1:4" s="94" customFormat="1" ht="20.25" customHeight="1" thickBot="1">
      <c r="A84" s="314" t="s">
        <v>803</v>
      </c>
      <c r="B84" s="306"/>
      <c r="C84" s="72"/>
      <c r="D84" s="72">
        <v>465.49</v>
      </c>
    </row>
    <row r="85" spans="1:4" ht="28.5" customHeight="1" thickBot="1">
      <c r="A85" s="405" t="s">
        <v>2562</v>
      </c>
      <c r="B85" s="406"/>
      <c r="C85" s="72"/>
      <c r="D85" s="72">
        <f>40+130</f>
        <v>170</v>
      </c>
    </row>
    <row r="86" spans="1:4" ht="15">
      <c r="A86" s="327" t="s">
        <v>2566</v>
      </c>
      <c r="B86" s="91"/>
      <c r="C86" s="72" t="s">
        <v>279</v>
      </c>
      <c r="D86" s="72">
        <v>130</v>
      </c>
    </row>
    <row r="87" spans="1:4" ht="28.5">
      <c r="A87" s="327" t="s">
        <v>2567</v>
      </c>
      <c r="B87" s="91"/>
      <c r="C87" s="72" t="s">
        <v>279</v>
      </c>
      <c r="D87" s="72">
        <f>130</f>
        <v>130</v>
      </c>
    </row>
    <row r="88" spans="1:4" ht="15">
      <c r="A88" s="327" t="s">
        <v>2568</v>
      </c>
      <c r="B88" s="91"/>
      <c r="C88" s="72" t="s">
        <v>794</v>
      </c>
      <c r="D88" s="72">
        <f>130*2</f>
        <v>260</v>
      </c>
    </row>
    <row r="89" spans="1:4" ht="30">
      <c r="A89" s="330" t="s">
        <v>2569</v>
      </c>
      <c r="B89" s="91"/>
      <c r="C89" s="105" t="s">
        <v>2418</v>
      </c>
      <c r="D89" s="72">
        <f>130*2*3</f>
        <v>780</v>
      </c>
    </row>
    <row r="90" spans="1:4" ht="15">
      <c r="A90" s="328" t="s">
        <v>822</v>
      </c>
      <c r="B90" s="253"/>
      <c r="C90" s="72" t="s">
        <v>279</v>
      </c>
      <c r="D90" s="72">
        <f>130*0.5</f>
        <v>65</v>
      </c>
    </row>
    <row r="91" spans="1:4" ht="15">
      <c r="A91" s="327" t="s">
        <v>1885</v>
      </c>
      <c r="B91" s="91"/>
      <c r="C91" s="72" t="s">
        <v>279</v>
      </c>
      <c r="D91" s="72">
        <f>0.5*65</f>
        <v>32.5</v>
      </c>
    </row>
    <row r="92" spans="1:4" ht="15" customHeight="1">
      <c r="A92" s="401" t="s">
        <v>1892</v>
      </c>
      <c r="B92" s="402"/>
      <c r="C92" s="181" t="s">
        <v>279</v>
      </c>
      <c r="D92" s="199">
        <v>0.5</v>
      </c>
    </row>
    <row r="93" spans="1:4" ht="15" customHeight="1">
      <c r="A93" s="312" t="s">
        <v>2576</v>
      </c>
      <c r="B93" s="318"/>
      <c r="C93" s="181" t="s">
        <v>342</v>
      </c>
      <c r="D93" s="199">
        <v>1</v>
      </c>
    </row>
    <row r="94" spans="1:4" ht="15">
      <c r="A94" s="409" t="s">
        <v>2581</v>
      </c>
      <c r="B94" s="410"/>
      <c r="C94" s="181" t="s">
        <v>279</v>
      </c>
      <c r="D94" s="199">
        <v>2</v>
      </c>
    </row>
    <row r="95" spans="1:4" ht="15" customHeight="1">
      <c r="A95" s="312" t="s">
        <v>2577</v>
      </c>
      <c r="B95" s="318"/>
      <c r="C95" s="181" t="s">
        <v>360</v>
      </c>
      <c r="D95" s="199">
        <v>2.5</v>
      </c>
    </row>
    <row r="96" spans="1:4" ht="15" customHeight="1">
      <c r="A96" s="312" t="s">
        <v>302</v>
      </c>
      <c r="B96" s="318"/>
      <c r="C96" s="181" t="s">
        <v>279</v>
      </c>
      <c r="D96" s="199">
        <v>1.5</v>
      </c>
    </row>
    <row r="97" spans="1:4" ht="15">
      <c r="A97" s="402" t="s">
        <v>296</v>
      </c>
      <c r="B97" s="413"/>
      <c r="C97" s="181" t="s">
        <v>279</v>
      </c>
      <c r="D97" s="199">
        <v>2</v>
      </c>
    </row>
    <row r="98" spans="1:4" ht="15.75" customHeight="1">
      <c r="A98" s="424" t="s">
        <v>297</v>
      </c>
      <c r="B98" s="425"/>
      <c r="C98" s="181" t="s">
        <v>279</v>
      </c>
      <c r="D98" s="199">
        <v>2</v>
      </c>
    </row>
    <row r="99" spans="1:4" s="73" customFormat="1" ht="15" customHeight="1">
      <c r="A99" s="401" t="s">
        <v>2589</v>
      </c>
      <c r="B99" s="402"/>
      <c r="C99" s="72" t="s">
        <v>369</v>
      </c>
      <c r="D99" s="72">
        <v>2</v>
      </c>
    </row>
    <row r="100" spans="1:4" s="73" customFormat="1" ht="35.25" customHeight="1">
      <c r="A100" s="332" t="s">
        <v>2590</v>
      </c>
      <c r="B100" s="333"/>
      <c r="C100" s="72" t="s">
        <v>400</v>
      </c>
      <c r="D100" s="72">
        <v>0.5</v>
      </c>
    </row>
    <row r="101" spans="1:4" s="73" customFormat="1" ht="15" customHeight="1">
      <c r="A101" s="332" t="s">
        <v>2591</v>
      </c>
      <c r="B101" s="333"/>
      <c r="C101" s="72" t="s">
        <v>400</v>
      </c>
      <c r="D101" s="72">
        <v>1</v>
      </c>
    </row>
    <row r="102" spans="1:4" s="73" customFormat="1" ht="15" customHeight="1">
      <c r="A102" s="401" t="s">
        <v>2593</v>
      </c>
      <c r="B102" s="402"/>
      <c r="C102" s="72" t="s">
        <v>499</v>
      </c>
      <c r="D102" s="72">
        <v>3</v>
      </c>
    </row>
    <row r="103" spans="1:4" s="73" customFormat="1" ht="19.5" customHeight="1">
      <c r="A103" s="125" t="s">
        <v>669</v>
      </c>
      <c r="B103" s="126"/>
      <c r="C103" s="72" t="s">
        <v>347</v>
      </c>
      <c r="D103" s="72">
        <v>2</v>
      </c>
    </row>
    <row r="104" spans="1:4" s="73" customFormat="1" ht="15" customHeight="1">
      <c r="A104" s="167" t="s">
        <v>738</v>
      </c>
      <c r="B104" s="169"/>
      <c r="C104" s="72" t="s">
        <v>737</v>
      </c>
      <c r="D104" s="72">
        <v>2</v>
      </c>
    </row>
    <row r="105" spans="1:4" s="73" customFormat="1" ht="30" customHeight="1">
      <c r="A105" s="352" t="s">
        <v>2598</v>
      </c>
      <c r="B105" s="354"/>
      <c r="C105" s="72" t="s">
        <v>2599</v>
      </c>
      <c r="D105" s="72">
        <v>4.5</v>
      </c>
    </row>
    <row r="106" spans="1:4" s="73" customFormat="1" ht="15" customHeight="1">
      <c r="A106" s="352" t="s">
        <v>2600</v>
      </c>
      <c r="B106" s="354"/>
      <c r="C106" s="72" t="s">
        <v>347</v>
      </c>
      <c r="D106" s="72">
        <v>4</v>
      </c>
    </row>
    <row r="107" spans="1:4" s="73" customFormat="1" ht="15" customHeight="1">
      <c r="A107" s="352" t="s">
        <v>2601</v>
      </c>
      <c r="B107" s="354"/>
      <c r="C107" s="72" t="s">
        <v>1144</v>
      </c>
      <c r="D107" s="72">
        <v>6</v>
      </c>
    </row>
    <row r="108" spans="1:4" s="73" customFormat="1" ht="15" customHeight="1">
      <c r="A108" s="402" t="s">
        <v>2602</v>
      </c>
      <c r="B108" s="413"/>
      <c r="C108" s="72" t="s">
        <v>790</v>
      </c>
      <c r="D108" s="72">
        <f>31+24</f>
        <v>55</v>
      </c>
    </row>
    <row r="109" spans="1:4" s="73" customFormat="1" ht="15">
      <c r="A109" s="402" t="s">
        <v>2603</v>
      </c>
      <c r="B109" s="413"/>
      <c r="C109" s="72" t="s">
        <v>592</v>
      </c>
      <c r="D109" s="72">
        <v>6</v>
      </c>
    </row>
    <row r="110" spans="1:4" s="73" customFormat="1" ht="15.75" customHeight="1">
      <c r="A110" s="356" t="s">
        <v>2604</v>
      </c>
      <c r="B110" s="357"/>
      <c r="C110" s="72" t="s">
        <v>485</v>
      </c>
      <c r="D110" s="72">
        <v>4</v>
      </c>
    </row>
    <row r="111" spans="1:4" s="73" customFormat="1" ht="15.75" customHeight="1">
      <c r="A111" s="356" t="s">
        <v>2605</v>
      </c>
      <c r="B111" s="357"/>
      <c r="C111" s="72" t="s">
        <v>2606</v>
      </c>
      <c r="D111" s="72">
        <v>24</v>
      </c>
    </row>
    <row r="112" spans="1:4" s="73" customFormat="1" ht="18" customHeight="1">
      <c r="A112" s="352" t="s">
        <v>2614</v>
      </c>
      <c r="B112" s="354"/>
      <c r="C112" s="72" t="s">
        <v>499</v>
      </c>
      <c r="D112" s="72">
        <v>16</v>
      </c>
    </row>
    <row r="113" spans="1:4" s="73" customFormat="1" ht="15" customHeight="1">
      <c r="A113" s="352" t="s">
        <v>2615</v>
      </c>
      <c r="B113" s="354"/>
      <c r="C113" s="72" t="s">
        <v>381</v>
      </c>
      <c r="D113" s="72">
        <v>10</v>
      </c>
    </row>
    <row r="114" spans="1:4" s="73" customFormat="1" ht="15" customHeight="1">
      <c r="A114" s="352" t="s">
        <v>2616</v>
      </c>
      <c r="B114" s="354"/>
      <c r="C114" s="72" t="s">
        <v>2617</v>
      </c>
      <c r="D114" s="72">
        <f>12+8</f>
        <v>20</v>
      </c>
    </row>
    <row r="115" spans="1:4" s="73" customFormat="1" ht="15" customHeight="1">
      <c r="A115" s="402" t="s">
        <v>2618</v>
      </c>
      <c r="B115" s="413"/>
      <c r="C115" s="72" t="s">
        <v>381</v>
      </c>
      <c r="D115" s="72">
        <v>16</v>
      </c>
    </row>
    <row r="116" spans="1:4" s="73" customFormat="1" ht="15">
      <c r="A116" s="402" t="s">
        <v>2619</v>
      </c>
      <c r="B116" s="413"/>
      <c r="C116" s="72" t="s">
        <v>663</v>
      </c>
      <c r="D116" s="72">
        <v>6</v>
      </c>
    </row>
    <row r="117" spans="1:4" s="73" customFormat="1" ht="15.75" customHeight="1">
      <c r="A117" s="356" t="s">
        <v>2620</v>
      </c>
      <c r="B117" s="357"/>
      <c r="C117" s="72" t="s">
        <v>2621</v>
      </c>
      <c r="D117" s="72">
        <v>18</v>
      </c>
    </row>
    <row r="118" spans="1:4" s="73" customFormat="1" ht="15.75" customHeight="1">
      <c r="A118" s="356" t="s">
        <v>2622</v>
      </c>
      <c r="B118" s="357"/>
      <c r="C118" s="72" t="s">
        <v>2623</v>
      </c>
      <c r="D118" s="72">
        <v>24</v>
      </c>
    </row>
    <row r="119" spans="1:4" s="73" customFormat="1" ht="15.75" customHeight="1">
      <c r="A119" s="356" t="s">
        <v>2624</v>
      </c>
      <c r="B119" s="357"/>
      <c r="C119" s="72" t="s">
        <v>497</v>
      </c>
      <c r="D119" s="72">
        <v>1</v>
      </c>
    </row>
    <row r="120" spans="1:4" s="73" customFormat="1" ht="15.75" customHeight="1">
      <c r="A120" s="356" t="s">
        <v>2625</v>
      </c>
      <c r="B120" s="357"/>
      <c r="C120" s="72" t="s">
        <v>2623</v>
      </c>
      <c r="D120" s="72">
        <v>24</v>
      </c>
    </row>
    <row r="121" spans="1:4" s="73" customFormat="1" ht="15.75" customHeight="1">
      <c r="A121" s="356" t="s">
        <v>2626</v>
      </c>
      <c r="B121" s="357"/>
      <c r="C121" s="72" t="s">
        <v>2627</v>
      </c>
      <c r="D121" s="72">
        <v>16</v>
      </c>
    </row>
    <row r="122" spans="1:4" s="73" customFormat="1" ht="17.25" customHeight="1">
      <c r="A122" s="401" t="s">
        <v>1821</v>
      </c>
      <c r="B122" s="402"/>
      <c r="C122" s="72" t="s">
        <v>1822</v>
      </c>
      <c r="D122" s="72">
        <v>1</v>
      </c>
    </row>
    <row r="123" spans="1:4" s="73" customFormat="1" ht="15.75" customHeight="1">
      <c r="A123" s="356" t="s">
        <v>2628</v>
      </c>
      <c r="B123" s="357"/>
      <c r="C123" s="72" t="s">
        <v>2623</v>
      </c>
      <c r="D123" s="72">
        <v>24</v>
      </c>
    </row>
    <row r="124" spans="1:4" s="73" customFormat="1" ht="15.75" customHeight="1">
      <c r="A124" s="356" t="s">
        <v>2629</v>
      </c>
      <c r="B124" s="357"/>
      <c r="C124" s="72" t="s">
        <v>279</v>
      </c>
      <c r="D124" s="72">
        <v>5</v>
      </c>
    </row>
    <row r="125" spans="1:4" s="73" customFormat="1" ht="15">
      <c r="A125" s="356" t="s">
        <v>2530</v>
      </c>
      <c r="B125" s="357"/>
      <c r="C125" s="72" t="s">
        <v>2531</v>
      </c>
      <c r="D125" s="72">
        <v>12</v>
      </c>
    </row>
    <row r="126" spans="1:4" s="73" customFormat="1" ht="15">
      <c r="A126" s="356" t="s">
        <v>2630</v>
      </c>
      <c r="B126" s="357"/>
      <c r="C126" s="72" t="s">
        <v>592</v>
      </c>
      <c r="D126" s="72">
        <v>2</v>
      </c>
    </row>
    <row r="127" spans="1:4" s="73" customFormat="1" ht="27.75" customHeight="1">
      <c r="A127" s="352" t="s">
        <v>2638</v>
      </c>
      <c r="B127" s="354"/>
      <c r="C127" s="72" t="s">
        <v>613</v>
      </c>
      <c r="D127" s="72">
        <v>2</v>
      </c>
    </row>
    <row r="128" spans="1:4" s="73" customFormat="1" ht="29.25" customHeight="1">
      <c r="A128" s="352" t="s">
        <v>1941</v>
      </c>
      <c r="B128" s="354"/>
      <c r="C128" s="72" t="s">
        <v>360</v>
      </c>
      <c r="D128" s="72">
        <v>4</v>
      </c>
    </row>
    <row r="129" spans="1:4" s="73" customFormat="1" ht="15" customHeight="1">
      <c r="A129" s="352" t="s">
        <v>1298</v>
      </c>
      <c r="B129" s="354"/>
      <c r="C129" s="72" t="s">
        <v>1299</v>
      </c>
      <c r="D129" s="72">
        <v>2</v>
      </c>
    </row>
    <row r="130" spans="1:4" s="73" customFormat="1" ht="33" customHeight="1">
      <c r="A130" s="356" t="s">
        <v>905</v>
      </c>
      <c r="B130" s="357"/>
      <c r="C130" s="105" t="s">
        <v>906</v>
      </c>
      <c r="D130" s="72">
        <v>1.2</v>
      </c>
    </row>
    <row r="131" spans="1:4" s="73" customFormat="1" ht="30.75" customHeight="1">
      <c r="A131" s="402" t="s">
        <v>2639</v>
      </c>
      <c r="B131" s="413"/>
      <c r="C131" s="72" t="s">
        <v>358</v>
      </c>
      <c r="D131" s="72">
        <v>6</v>
      </c>
    </row>
    <row r="132" spans="1:4" s="73" customFormat="1" ht="33.75" customHeight="1">
      <c r="A132" s="356" t="s">
        <v>2640</v>
      </c>
      <c r="B132" s="357"/>
      <c r="C132" s="72" t="s">
        <v>279</v>
      </c>
      <c r="D132" s="72">
        <v>2</v>
      </c>
    </row>
    <row r="133" spans="1:4" s="73" customFormat="1" ht="30" customHeight="1">
      <c r="A133" s="356" t="s">
        <v>2641</v>
      </c>
      <c r="B133" s="357"/>
      <c r="C133" s="72" t="s">
        <v>279</v>
      </c>
      <c r="D133" s="72">
        <v>1</v>
      </c>
    </row>
    <row r="134" spans="1:4" s="73" customFormat="1" ht="29.25" customHeight="1">
      <c r="A134" s="352" t="s">
        <v>1307</v>
      </c>
      <c r="B134" s="354"/>
      <c r="C134" s="105" t="s">
        <v>1308</v>
      </c>
      <c r="D134" s="72">
        <v>1.8</v>
      </c>
    </row>
    <row r="135" spans="1:4" s="73" customFormat="1" ht="18" customHeight="1">
      <c r="A135" s="352" t="s">
        <v>1089</v>
      </c>
      <c r="B135" s="354"/>
      <c r="C135" s="72" t="s">
        <v>1090</v>
      </c>
      <c r="D135" s="72">
        <v>1.5</v>
      </c>
    </row>
    <row r="136" spans="1:4" s="73" customFormat="1" ht="18.75" customHeight="1">
      <c r="A136" s="356" t="s">
        <v>1310</v>
      </c>
      <c r="B136" s="357"/>
      <c r="C136" s="105" t="s">
        <v>1311</v>
      </c>
      <c r="D136" s="72">
        <v>3.4</v>
      </c>
    </row>
    <row r="137" spans="1:4" s="73" customFormat="1" ht="33" customHeight="1">
      <c r="A137" s="356" t="s">
        <v>2648</v>
      </c>
      <c r="B137" s="357"/>
      <c r="C137" s="105" t="s">
        <v>516</v>
      </c>
      <c r="D137" s="72">
        <v>2</v>
      </c>
    </row>
    <row r="138" spans="1:4" s="73" customFormat="1" ht="15">
      <c r="A138" s="402" t="s">
        <v>1093</v>
      </c>
      <c r="B138" s="413"/>
      <c r="C138" s="72" t="s">
        <v>1094</v>
      </c>
      <c r="D138" s="72">
        <v>1.1</v>
      </c>
    </row>
    <row r="139" spans="1:4" ht="15" customHeight="1">
      <c r="A139" s="129" t="s">
        <v>302</v>
      </c>
      <c r="B139" s="132"/>
      <c r="C139" s="77" t="s">
        <v>279</v>
      </c>
      <c r="D139" s="77">
        <v>1.5</v>
      </c>
    </row>
    <row r="140" spans="1:4" ht="15" customHeight="1">
      <c r="A140" s="437" t="s">
        <v>94</v>
      </c>
      <c r="B140" s="438"/>
      <c r="C140" s="77"/>
      <c r="D140" s="77"/>
    </row>
    <row r="141" spans="1:4" ht="15">
      <c r="A141" s="437" t="s">
        <v>296</v>
      </c>
      <c r="B141" s="438"/>
      <c r="C141" s="77" t="s">
        <v>279</v>
      </c>
      <c r="D141" s="77">
        <v>2</v>
      </c>
    </row>
    <row r="142" spans="1:4" ht="15.75" customHeight="1" thickBot="1">
      <c r="A142" s="439" t="s">
        <v>297</v>
      </c>
      <c r="B142" s="440"/>
      <c r="C142" s="77" t="s">
        <v>279</v>
      </c>
      <c r="D142" s="77">
        <v>2</v>
      </c>
    </row>
    <row r="143" spans="1:4" ht="15.75" thickBot="1">
      <c r="A143" s="377" t="s">
        <v>99</v>
      </c>
      <c r="B143" s="378"/>
      <c r="C143" s="77"/>
      <c r="D143" s="77"/>
    </row>
    <row r="144" spans="1:4" ht="30.75" customHeight="1" thickBot="1">
      <c r="A144" s="501" t="s">
        <v>307</v>
      </c>
      <c r="B144" s="502"/>
      <c r="C144" s="78" t="s">
        <v>424</v>
      </c>
      <c r="D144" s="80" t="s">
        <v>427</v>
      </c>
    </row>
    <row r="145" spans="1:4" ht="15.75" thickBot="1">
      <c r="A145" s="377" t="s">
        <v>101</v>
      </c>
      <c r="B145" s="378"/>
      <c r="C145" s="77"/>
      <c r="D145" s="77"/>
    </row>
    <row r="146" spans="1:4" ht="15.75" thickBot="1">
      <c r="A146" s="443" t="s">
        <v>102</v>
      </c>
      <c r="B146" s="375"/>
      <c r="C146" s="77" t="s">
        <v>243</v>
      </c>
      <c r="D146" s="77"/>
    </row>
    <row r="147" spans="1:4" ht="15.75" thickBot="1">
      <c r="A147" s="327" t="s">
        <v>2561</v>
      </c>
      <c r="B147" s="325"/>
      <c r="C147" s="72" t="s">
        <v>243</v>
      </c>
      <c r="D147" s="72">
        <f>1.5*130</f>
        <v>195</v>
      </c>
    </row>
    <row r="148" spans="1:4" ht="15">
      <c r="A148" s="525" t="s">
        <v>2563</v>
      </c>
      <c r="B148" s="526"/>
      <c r="C148" s="72"/>
      <c r="D148" s="72">
        <f>255.58+130*3</f>
        <v>645.58</v>
      </c>
    </row>
    <row r="149" spans="1:4" ht="15">
      <c r="A149" s="327" t="s">
        <v>2570</v>
      </c>
      <c r="B149" s="325"/>
      <c r="C149" s="72" t="s">
        <v>243</v>
      </c>
      <c r="D149" s="72">
        <v>65</v>
      </c>
    </row>
    <row r="150" spans="1:4" ht="15">
      <c r="A150" s="304" t="s">
        <v>2571</v>
      </c>
      <c r="B150" s="325"/>
      <c r="C150" s="72" t="s">
        <v>243</v>
      </c>
      <c r="D150" s="72">
        <f>2*130</f>
        <v>260</v>
      </c>
    </row>
    <row r="151" spans="1:4" ht="15">
      <c r="A151" s="327" t="s">
        <v>2572</v>
      </c>
      <c r="B151" s="325"/>
      <c r="C151" s="72" t="s">
        <v>243</v>
      </c>
      <c r="D151" s="72">
        <f>130</f>
        <v>130</v>
      </c>
    </row>
    <row r="152" spans="1:4" ht="15">
      <c r="A152" s="327"/>
      <c r="B152" s="325"/>
      <c r="C152" s="72"/>
      <c r="D152" s="72"/>
    </row>
    <row r="153" spans="1:4" ht="15">
      <c r="A153" s="327" t="s">
        <v>2573</v>
      </c>
      <c r="B153" s="325"/>
      <c r="C153" s="72" t="s">
        <v>243</v>
      </c>
      <c r="D153" s="72">
        <v>130</v>
      </c>
    </row>
    <row r="154" spans="1:4" ht="15">
      <c r="A154" s="327" t="s">
        <v>2578</v>
      </c>
      <c r="B154" s="135"/>
      <c r="C154" s="199"/>
      <c r="D154" s="199">
        <v>2</v>
      </c>
    </row>
    <row r="155" spans="1:4" ht="15">
      <c r="A155" s="327" t="s">
        <v>2579</v>
      </c>
      <c r="B155" s="135"/>
      <c r="C155" s="199"/>
      <c r="D155" s="199">
        <v>1.5</v>
      </c>
    </row>
    <row r="156" spans="1:4" ht="15">
      <c r="A156" s="327" t="s">
        <v>2580</v>
      </c>
      <c r="B156" s="135"/>
      <c r="C156" s="199"/>
      <c r="D156" s="199">
        <v>2</v>
      </c>
    </row>
    <row r="157" spans="1:4" s="73" customFormat="1" ht="15">
      <c r="A157" s="334" t="s">
        <v>2585</v>
      </c>
      <c r="B157" s="91"/>
      <c r="C157" s="72" t="s">
        <v>243</v>
      </c>
      <c r="D157" s="72">
        <v>1.5</v>
      </c>
    </row>
    <row r="158" spans="1:4" s="73" customFormat="1" ht="15">
      <c r="A158" s="334" t="s">
        <v>2586</v>
      </c>
      <c r="B158" s="91"/>
      <c r="C158" s="72" t="s">
        <v>243</v>
      </c>
      <c r="D158" s="72">
        <v>1</v>
      </c>
    </row>
    <row r="159" spans="1:4" s="73" customFormat="1" ht="28.5">
      <c r="A159" s="334" t="s">
        <v>2592</v>
      </c>
      <c r="B159" s="91"/>
      <c r="C159" s="72" t="s">
        <v>243</v>
      </c>
      <c r="D159" s="72">
        <v>2</v>
      </c>
    </row>
    <row r="160" spans="1:4" s="73" customFormat="1" ht="15">
      <c r="A160" s="362" t="s">
        <v>2594</v>
      </c>
      <c r="B160" s="91"/>
      <c r="C160" s="72" t="s">
        <v>243</v>
      </c>
      <c r="D160" s="72">
        <v>1.5</v>
      </c>
    </row>
    <row r="161" spans="1:4" s="73" customFormat="1" ht="28.5">
      <c r="A161" s="362" t="s">
        <v>2595</v>
      </c>
      <c r="B161" s="91"/>
      <c r="C161" s="72" t="s">
        <v>243</v>
      </c>
      <c r="D161" s="72">
        <v>1.5</v>
      </c>
    </row>
    <row r="162" spans="1:4" s="73" customFormat="1" ht="15">
      <c r="A162" s="362" t="s">
        <v>582</v>
      </c>
      <c r="B162" s="91"/>
      <c r="C162" s="72" t="s">
        <v>243</v>
      </c>
      <c r="D162" s="72">
        <v>1</v>
      </c>
    </row>
    <row r="163" spans="1:4" s="73" customFormat="1" ht="15">
      <c r="A163" s="362" t="s">
        <v>626</v>
      </c>
      <c r="B163" s="91"/>
      <c r="C163" s="72" t="s">
        <v>243</v>
      </c>
      <c r="D163" s="72">
        <v>1.5</v>
      </c>
    </row>
    <row r="164" spans="1:4" s="73" customFormat="1" ht="15">
      <c r="A164" s="90" t="s">
        <v>743</v>
      </c>
      <c r="B164" s="91"/>
      <c r="C164" s="72" t="s">
        <v>243</v>
      </c>
      <c r="D164" s="72">
        <v>1</v>
      </c>
    </row>
    <row r="165" spans="1:4" s="73" customFormat="1" ht="15">
      <c r="A165" s="90" t="s">
        <v>745</v>
      </c>
      <c r="B165" s="91"/>
      <c r="C165" s="72" t="s">
        <v>243</v>
      </c>
      <c r="D165" s="72">
        <v>2</v>
      </c>
    </row>
    <row r="166" spans="1:4" s="73" customFormat="1" ht="15">
      <c r="A166" s="362" t="s">
        <v>2607</v>
      </c>
      <c r="B166" s="91"/>
      <c r="C166" s="72" t="s">
        <v>243</v>
      </c>
      <c r="D166" s="72">
        <v>1</v>
      </c>
    </row>
    <row r="167" spans="1:4" s="73" customFormat="1" ht="15">
      <c r="A167" s="362" t="s">
        <v>2608</v>
      </c>
      <c r="B167" s="91"/>
      <c r="C167" s="72" t="s">
        <v>243</v>
      </c>
      <c r="D167" s="72">
        <v>2</v>
      </c>
    </row>
    <row r="168" spans="1:4" s="73" customFormat="1" ht="15">
      <c r="A168" s="362" t="s">
        <v>2609</v>
      </c>
      <c r="B168" s="91"/>
      <c r="C168" s="72" t="s">
        <v>243</v>
      </c>
      <c r="D168" s="72">
        <v>1.5</v>
      </c>
    </row>
    <row r="169" spans="1:4" s="73" customFormat="1" ht="15">
      <c r="A169" s="362" t="s">
        <v>2610</v>
      </c>
      <c r="B169" s="91"/>
      <c r="C169" s="72" t="s">
        <v>243</v>
      </c>
      <c r="D169" s="72">
        <v>3.5</v>
      </c>
    </row>
    <row r="170" spans="1:4" s="73" customFormat="1" ht="15">
      <c r="A170" s="362" t="s">
        <v>2631</v>
      </c>
      <c r="B170" s="91"/>
      <c r="C170" s="72" t="s">
        <v>243</v>
      </c>
      <c r="D170" s="72">
        <v>1</v>
      </c>
    </row>
    <row r="171" spans="1:4" s="73" customFormat="1" ht="15">
      <c r="A171" s="362" t="s">
        <v>2632</v>
      </c>
      <c r="B171" s="91"/>
      <c r="C171" s="72" t="s">
        <v>243</v>
      </c>
      <c r="D171" s="72">
        <v>2</v>
      </c>
    </row>
    <row r="172" spans="1:4" s="73" customFormat="1" ht="15">
      <c r="A172" s="362" t="s">
        <v>2642</v>
      </c>
      <c r="B172" s="91"/>
      <c r="C172" s="72" t="s">
        <v>243</v>
      </c>
      <c r="D172" s="72">
        <v>1</v>
      </c>
    </row>
    <row r="173" spans="1:4" s="73" customFormat="1" ht="15">
      <c r="A173" s="362" t="s">
        <v>2643</v>
      </c>
      <c r="B173" s="91"/>
      <c r="C173" s="72" t="s">
        <v>243</v>
      </c>
      <c r="D173" s="72">
        <v>2</v>
      </c>
    </row>
    <row r="174" spans="1:4" s="73" customFormat="1" ht="15">
      <c r="A174" s="362" t="s">
        <v>2644</v>
      </c>
      <c r="B174" s="91"/>
      <c r="C174" s="72" t="s">
        <v>243</v>
      </c>
      <c r="D174" s="72">
        <v>2</v>
      </c>
    </row>
    <row r="175" spans="1:4" s="73" customFormat="1" ht="15">
      <c r="A175" s="362" t="s">
        <v>2645</v>
      </c>
      <c r="B175" s="91"/>
      <c r="C175" s="72" t="s">
        <v>243</v>
      </c>
      <c r="D175" s="72">
        <v>4.5</v>
      </c>
    </row>
    <row r="176" spans="1:4" s="73" customFormat="1" ht="15">
      <c r="A176" s="362" t="s">
        <v>2646</v>
      </c>
      <c r="B176" s="91"/>
      <c r="C176" s="72" t="s">
        <v>243</v>
      </c>
      <c r="D176" s="72">
        <v>1</v>
      </c>
    </row>
    <row r="177" spans="1:4" s="73" customFormat="1" ht="15">
      <c r="A177" s="362" t="s">
        <v>2649</v>
      </c>
      <c r="B177" s="91"/>
      <c r="C177" s="72" t="s">
        <v>243</v>
      </c>
      <c r="D177" s="72">
        <v>1</v>
      </c>
    </row>
    <row r="178" spans="1:4" s="73" customFormat="1" ht="15">
      <c r="A178" s="95" t="s">
        <v>582</v>
      </c>
      <c r="B178" s="70"/>
      <c r="C178" s="77" t="s">
        <v>243</v>
      </c>
      <c r="D178" s="77">
        <v>1</v>
      </c>
    </row>
    <row r="179" spans="1:4" s="73" customFormat="1" ht="15">
      <c r="A179" s="95" t="s">
        <v>626</v>
      </c>
      <c r="B179" s="70"/>
      <c r="C179" s="77" t="s">
        <v>243</v>
      </c>
      <c r="D179" s="77">
        <v>1.5</v>
      </c>
    </row>
    <row r="180" spans="1:4" ht="15.75" thickBot="1">
      <c r="A180" s="395" t="s">
        <v>103</v>
      </c>
      <c r="B180" s="396"/>
      <c r="C180" s="77"/>
      <c r="D180" s="77"/>
    </row>
    <row r="181" spans="1:4" ht="15.75" thickBot="1">
      <c r="A181" s="397" t="s">
        <v>104</v>
      </c>
      <c r="B181" s="398"/>
      <c r="C181" s="77"/>
      <c r="D181" s="77"/>
    </row>
    <row r="182" spans="1:4" ht="15">
      <c r="A182" s="79"/>
      <c r="B182" s="79"/>
      <c r="C182" s="76"/>
      <c r="D182" s="76"/>
    </row>
    <row r="183" spans="1:4" ht="15">
      <c r="A183" s="552" t="s">
        <v>233</v>
      </c>
      <c r="B183" s="552"/>
      <c r="C183" s="552"/>
      <c r="D183" s="552"/>
    </row>
    <row r="184" spans="1:4" ht="15">
      <c r="A184" s="76"/>
      <c r="B184" s="76"/>
      <c r="C184" s="76"/>
      <c r="D184" s="76"/>
    </row>
    <row r="185" spans="1:4" ht="15">
      <c r="A185" s="552" t="s">
        <v>234</v>
      </c>
      <c r="B185" s="552"/>
      <c r="C185" s="552"/>
      <c r="D185" s="552"/>
    </row>
  </sheetData>
  <sheetProtection/>
  <mergeCells count="63">
    <mergeCell ref="A183:D183"/>
    <mergeCell ref="A185:D185"/>
    <mergeCell ref="A140:B140"/>
    <mergeCell ref="A141:B141"/>
    <mergeCell ref="A142:B142"/>
    <mergeCell ref="A143:B143"/>
    <mergeCell ref="A144:B144"/>
    <mergeCell ref="A145:B145"/>
    <mergeCell ref="A146:B146"/>
    <mergeCell ref="A180:B180"/>
    <mergeCell ref="A181:B181"/>
    <mergeCell ref="A148:B148"/>
    <mergeCell ref="A12:B12"/>
    <mergeCell ref="A15:B15"/>
    <mergeCell ref="A16:B16"/>
    <mergeCell ref="A37:B37"/>
    <mergeCell ref="A38:B38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7:B7"/>
    <mergeCell ref="A8:B8"/>
    <mergeCell ref="A9:B9"/>
    <mergeCell ref="A10:B10"/>
    <mergeCell ref="A11:B11"/>
    <mergeCell ref="A1:D1"/>
    <mergeCell ref="A2:D2"/>
    <mergeCell ref="A3:D3"/>
    <mergeCell ref="A5:B5"/>
    <mergeCell ref="A6:B6"/>
    <mergeCell ref="A108:B108"/>
    <mergeCell ref="A109:B109"/>
    <mergeCell ref="A29:B29"/>
    <mergeCell ref="A31:B31"/>
    <mergeCell ref="A97:B97"/>
    <mergeCell ref="A98:B98"/>
    <mergeCell ref="A94:B94"/>
    <mergeCell ref="A39:B39"/>
    <mergeCell ref="A40:B40"/>
    <mergeCell ref="A41:B41"/>
    <mergeCell ref="A42:B42"/>
    <mergeCell ref="A43:B43"/>
    <mergeCell ref="A44:B44"/>
    <mergeCell ref="A73:B73"/>
    <mergeCell ref="A85:B85"/>
    <mergeCell ref="A92:B92"/>
    <mergeCell ref="A32:B32"/>
    <mergeCell ref="A34:B34"/>
    <mergeCell ref="A35:B35"/>
    <mergeCell ref="A36:B36"/>
    <mergeCell ref="A102:B102"/>
    <mergeCell ref="A99:B99"/>
    <mergeCell ref="A131:B131"/>
    <mergeCell ref="A138:B138"/>
    <mergeCell ref="A115:B115"/>
    <mergeCell ref="A116:B116"/>
    <mergeCell ref="A122:B122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D240"/>
  <sheetViews>
    <sheetView zoomScalePageLayoutView="0" workbookViewId="0" topLeftCell="A1">
      <selection activeCell="G211" sqref="G211"/>
    </sheetView>
  </sheetViews>
  <sheetFormatPr defaultColWidth="9.140625" defaultRowHeight="15"/>
  <cols>
    <col min="1" max="1" width="80.8515625" style="0" customWidth="1"/>
    <col min="2" max="2" width="3.28125" style="0" hidden="1" customWidth="1"/>
    <col min="3" max="3" width="46.00390625" style="0" customWidth="1"/>
  </cols>
  <sheetData>
    <row r="1" spans="1:4" ht="15.75">
      <c r="A1" s="381" t="s">
        <v>230</v>
      </c>
      <c r="B1" s="381"/>
      <c r="C1" s="381"/>
      <c r="D1" s="381"/>
    </row>
    <row r="2" spans="1:4" ht="15.75">
      <c r="A2" s="382" t="s">
        <v>248</v>
      </c>
      <c r="B2" s="382"/>
      <c r="C2" s="382"/>
      <c r="D2" s="382"/>
    </row>
    <row r="3" spans="1:4" s="55" customFormat="1" ht="15.75">
      <c r="A3" s="382" t="s">
        <v>2650</v>
      </c>
      <c r="B3" s="382"/>
      <c r="C3" s="382"/>
      <c r="D3" s="382"/>
    </row>
    <row r="4" spans="1:4" s="55" customFormat="1" ht="15.75">
      <c r="A4" s="107"/>
      <c r="B4" s="107"/>
      <c r="C4" s="89"/>
      <c r="D4" s="89"/>
    </row>
    <row r="5" spans="1:4" ht="30">
      <c r="A5" s="383" t="s">
        <v>229</v>
      </c>
      <c r="B5" s="384"/>
      <c r="C5" s="86" t="s">
        <v>231</v>
      </c>
      <c r="D5" s="85" t="s">
        <v>533</v>
      </c>
    </row>
    <row r="6" spans="1:4" ht="15">
      <c r="A6" s="383" t="s">
        <v>229</v>
      </c>
      <c r="B6" s="384"/>
      <c r="C6" s="73"/>
      <c r="D6" s="73"/>
    </row>
    <row r="7" spans="1:4" ht="15.75" thickBot="1">
      <c r="A7" s="379" t="s">
        <v>0</v>
      </c>
      <c r="B7" s="380"/>
      <c r="C7" s="76"/>
      <c r="D7" s="76"/>
    </row>
    <row r="8" spans="1:4" ht="15">
      <c r="A8" s="435" t="s">
        <v>24</v>
      </c>
      <c r="B8" s="436"/>
      <c r="C8" s="77"/>
      <c r="D8" s="77"/>
    </row>
    <row r="9" spans="1:4" ht="15">
      <c r="A9" s="435" t="s">
        <v>236</v>
      </c>
      <c r="B9" s="436"/>
      <c r="C9" s="77"/>
      <c r="D9" s="77"/>
    </row>
    <row r="10" spans="1:4" ht="15.75" thickBot="1">
      <c r="A10" s="451" t="s">
        <v>28</v>
      </c>
      <c r="B10" s="445"/>
      <c r="C10" s="77"/>
      <c r="D10" s="77"/>
    </row>
    <row r="11" spans="1:4" ht="15.75" thickBot="1">
      <c r="A11" s="375" t="s">
        <v>29</v>
      </c>
      <c r="B11" s="376"/>
      <c r="C11" s="77"/>
      <c r="D11" s="77"/>
    </row>
    <row r="12" spans="1:4" ht="15">
      <c r="A12" s="433" t="s">
        <v>45</v>
      </c>
      <c r="B12" s="434"/>
      <c r="C12" s="77"/>
      <c r="D12" s="77"/>
    </row>
    <row r="13" spans="1:4" ht="15.75" thickBot="1">
      <c r="A13" s="72" t="s">
        <v>788</v>
      </c>
      <c r="B13" s="72"/>
      <c r="C13" s="72"/>
      <c r="D13" s="72">
        <v>145.84</v>
      </c>
    </row>
    <row r="14" spans="1:4" ht="15.75" thickBot="1">
      <c r="A14" s="377" t="s">
        <v>56</v>
      </c>
      <c r="B14" s="378"/>
      <c r="C14" s="77"/>
      <c r="D14" s="77"/>
    </row>
    <row r="15" spans="1:4" ht="15.75" thickBot="1">
      <c r="A15" s="375" t="s">
        <v>57</v>
      </c>
      <c r="B15" s="376"/>
      <c r="C15" s="77"/>
      <c r="D15" s="77"/>
    </row>
    <row r="16" spans="1:4" ht="15.75" thickBot="1">
      <c r="A16" s="361" t="s">
        <v>2651</v>
      </c>
      <c r="B16" s="353"/>
      <c r="C16" s="72" t="s">
        <v>400</v>
      </c>
      <c r="D16" s="72">
        <f>0.4*130</f>
        <v>52</v>
      </c>
    </row>
    <row r="17" spans="1:4" ht="15">
      <c r="A17" s="399" t="s">
        <v>2400</v>
      </c>
      <c r="B17" s="400"/>
      <c r="C17" s="181" t="s">
        <v>342</v>
      </c>
      <c r="D17" s="199">
        <v>2</v>
      </c>
    </row>
    <row r="18" spans="1:4" ht="15" customHeight="1">
      <c r="A18" s="399" t="s">
        <v>2693</v>
      </c>
      <c r="B18" s="400"/>
      <c r="C18" s="181" t="s">
        <v>2694</v>
      </c>
      <c r="D18" s="199">
        <f>1+3</f>
        <v>4</v>
      </c>
    </row>
    <row r="19" spans="1:4" ht="15">
      <c r="A19" s="181" t="s">
        <v>2708</v>
      </c>
      <c r="B19" s="181"/>
      <c r="C19" s="181" t="s">
        <v>390</v>
      </c>
      <c r="D19" s="181">
        <v>1.5</v>
      </c>
    </row>
    <row r="20" spans="1:4" ht="15">
      <c r="A20" s="181" t="s">
        <v>2709</v>
      </c>
      <c r="B20" s="181"/>
      <c r="C20" s="181" t="s">
        <v>342</v>
      </c>
      <c r="D20" s="181">
        <v>1.5</v>
      </c>
    </row>
    <row r="21" spans="1:4" ht="15" customHeight="1">
      <c r="A21" s="399" t="s">
        <v>2409</v>
      </c>
      <c r="B21" s="400"/>
      <c r="C21" s="72" t="s">
        <v>400</v>
      </c>
      <c r="D21" s="72">
        <v>1.6</v>
      </c>
    </row>
    <row r="22" spans="1:4" s="73" customFormat="1" ht="33" customHeight="1">
      <c r="A22" s="399" t="s">
        <v>2723</v>
      </c>
      <c r="B22" s="400"/>
      <c r="C22" s="72" t="s">
        <v>342</v>
      </c>
      <c r="D22" s="72">
        <v>3</v>
      </c>
    </row>
    <row r="23" spans="1:4" s="73" customFormat="1" ht="15">
      <c r="A23" s="399" t="s">
        <v>474</v>
      </c>
      <c r="B23" s="400"/>
      <c r="C23" s="72" t="s">
        <v>401</v>
      </c>
      <c r="D23" s="72">
        <v>0.5</v>
      </c>
    </row>
    <row r="24" spans="1:4" s="73" customFormat="1" ht="15" customHeight="1">
      <c r="A24" s="400" t="s">
        <v>517</v>
      </c>
      <c r="B24" s="448"/>
      <c r="C24" s="72" t="s">
        <v>518</v>
      </c>
      <c r="D24" s="72">
        <v>1.7</v>
      </c>
    </row>
    <row r="25" spans="1:4" s="73" customFormat="1" ht="15">
      <c r="A25" s="400" t="s">
        <v>2724</v>
      </c>
      <c r="B25" s="448"/>
      <c r="C25" s="72" t="s">
        <v>447</v>
      </c>
      <c r="D25" s="72">
        <v>2.8</v>
      </c>
    </row>
    <row r="26" spans="1:4" s="73" customFormat="1" ht="15" customHeight="1">
      <c r="A26" s="400" t="s">
        <v>542</v>
      </c>
      <c r="B26" s="448"/>
      <c r="C26" s="72" t="s">
        <v>400</v>
      </c>
      <c r="D26" s="72">
        <v>2</v>
      </c>
    </row>
    <row r="27" spans="1:4" s="73" customFormat="1" ht="19.5" customHeight="1">
      <c r="A27" s="399" t="s">
        <v>571</v>
      </c>
      <c r="B27" s="400"/>
      <c r="C27" s="105" t="s">
        <v>485</v>
      </c>
      <c r="D27" s="72">
        <v>2</v>
      </c>
    </row>
    <row r="28" spans="1:4" s="73" customFormat="1" ht="15">
      <c r="A28" s="399" t="s">
        <v>574</v>
      </c>
      <c r="B28" s="400"/>
      <c r="C28" s="72" t="s">
        <v>400</v>
      </c>
      <c r="D28" s="72">
        <v>8</v>
      </c>
    </row>
    <row r="29" spans="1:4" s="73" customFormat="1" ht="15" customHeight="1">
      <c r="A29" s="400" t="s">
        <v>588</v>
      </c>
      <c r="B29" s="448"/>
      <c r="C29" s="72" t="s">
        <v>447</v>
      </c>
      <c r="D29" s="72">
        <v>6</v>
      </c>
    </row>
    <row r="30" spans="1:4" s="73" customFormat="1" ht="15">
      <c r="A30" s="400" t="s">
        <v>599</v>
      </c>
      <c r="B30" s="448"/>
      <c r="C30" s="72" t="s">
        <v>359</v>
      </c>
      <c r="D30" s="72">
        <v>6.5</v>
      </c>
    </row>
    <row r="31" spans="1:4" s="73" customFormat="1" ht="19.5" customHeight="1">
      <c r="A31" s="399" t="s">
        <v>2740</v>
      </c>
      <c r="B31" s="400"/>
      <c r="C31" s="105" t="s">
        <v>346</v>
      </c>
      <c r="D31" s="72">
        <v>8</v>
      </c>
    </row>
    <row r="32" spans="1:4" s="73" customFormat="1" ht="15">
      <c r="A32" s="399" t="s">
        <v>2741</v>
      </c>
      <c r="B32" s="400"/>
      <c r="C32" s="72" t="s">
        <v>359</v>
      </c>
      <c r="D32" s="72">
        <v>2</v>
      </c>
    </row>
    <row r="33" spans="1:4" s="73" customFormat="1" ht="15">
      <c r="A33" s="400" t="s">
        <v>1286</v>
      </c>
      <c r="B33" s="448"/>
      <c r="C33" s="72" t="s">
        <v>1287</v>
      </c>
      <c r="D33" s="72">
        <v>4.5</v>
      </c>
    </row>
    <row r="34" spans="1:4" s="73" customFormat="1" ht="15">
      <c r="A34" s="72" t="s">
        <v>1717</v>
      </c>
      <c r="B34" s="72"/>
      <c r="C34" s="72" t="s">
        <v>1718</v>
      </c>
      <c r="D34" s="72">
        <v>3</v>
      </c>
    </row>
    <row r="35" spans="1:4" s="73" customFormat="1" ht="15">
      <c r="A35" s="400" t="s">
        <v>2423</v>
      </c>
      <c r="B35" s="448"/>
      <c r="C35" s="72" t="s">
        <v>2424</v>
      </c>
      <c r="D35" s="72">
        <v>5</v>
      </c>
    </row>
    <row r="36" spans="1:4" s="73" customFormat="1" ht="15">
      <c r="A36" s="400" t="s">
        <v>1604</v>
      </c>
      <c r="B36" s="448"/>
      <c r="C36" s="72" t="s">
        <v>1083</v>
      </c>
      <c r="D36" s="72">
        <v>2</v>
      </c>
    </row>
    <row r="37" spans="1:4" s="73" customFormat="1" ht="12.75" customHeight="1">
      <c r="A37" s="400" t="s">
        <v>1829</v>
      </c>
      <c r="B37" s="448"/>
      <c r="C37" s="72" t="s">
        <v>1830</v>
      </c>
      <c r="D37" s="72">
        <v>1.5</v>
      </c>
    </row>
    <row r="38" spans="1:4" s="73" customFormat="1" ht="15">
      <c r="A38" s="400" t="s">
        <v>1832</v>
      </c>
      <c r="B38" s="448"/>
      <c r="C38" s="72" t="s">
        <v>1833</v>
      </c>
      <c r="D38" s="72">
        <v>3</v>
      </c>
    </row>
    <row r="39" spans="1:4" s="73" customFormat="1" ht="15">
      <c r="A39" s="435" t="s">
        <v>574</v>
      </c>
      <c r="B39" s="436"/>
      <c r="C39" s="77" t="s">
        <v>400</v>
      </c>
      <c r="D39" s="77">
        <v>8</v>
      </c>
    </row>
    <row r="40" spans="1:4" s="73" customFormat="1" ht="15" customHeight="1">
      <c r="A40" s="436" t="s">
        <v>588</v>
      </c>
      <c r="B40" s="447"/>
      <c r="C40" s="77" t="s">
        <v>447</v>
      </c>
      <c r="D40" s="77">
        <v>6</v>
      </c>
    </row>
    <row r="41" spans="1:4" s="73" customFormat="1" ht="15">
      <c r="A41" s="436" t="s">
        <v>599</v>
      </c>
      <c r="B41" s="447"/>
      <c r="C41" s="77" t="s">
        <v>359</v>
      </c>
      <c r="D41" s="77">
        <v>6.5</v>
      </c>
    </row>
    <row r="42" spans="1:4" s="73" customFormat="1" ht="15" customHeight="1">
      <c r="A42" s="436" t="s">
        <v>542</v>
      </c>
      <c r="B42" s="447"/>
      <c r="C42" s="77" t="s">
        <v>400</v>
      </c>
      <c r="D42" s="77">
        <v>2</v>
      </c>
    </row>
    <row r="43" spans="1:4" s="73" customFormat="1" ht="15" customHeight="1">
      <c r="A43" s="130"/>
      <c r="B43" s="131"/>
      <c r="C43" s="77"/>
      <c r="D43" s="77"/>
    </row>
    <row r="44" spans="1:4" ht="15.75" customHeight="1" thickBot="1">
      <c r="A44" s="445" t="s">
        <v>63</v>
      </c>
      <c r="B44" s="446"/>
      <c r="C44" s="77"/>
      <c r="D44" s="77"/>
    </row>
    <row r="45" spans="1:4" ht="15.75" thickBot="1">
      <c r="A45" s="387" t="s">
        <v>64</v>
      </c>
      <c r="B45" s="377"/>
      <c r="C45" s="77"/>
      <c r="D45" s="77"/>
    </row>
    <row r="46" spans="1:4" ht="15">
      <c r="A46" s="388" t="s">
        <v>66</v>
      </c>
      <c r="B46" s="389"/>
      <c r="C46" s="77"/>
      <c r="D46" s="77"/>
    </row>
    <row r="47" spans="1:4" ht="15">
      <c r="A47" s="60" t="s">
        <v>68</v>
      </c>
      <c r="B47" s="61"/>
      <c r="C47" s="77"/>
      <c r="D47" s="77"/>
    </row>
    <row r="48" spans="1:4" ht="15">
      <c r="A48" s="276" t="s">
        <v>2553</v>
      </c>
      <c r="B48" s="269"/>
      <c r="C48" s="72" t="s">
        <v>279</v>
      </c>
      <c r="D48" s="72">
        <f>1.5*130</f>
        <v>195</v>
      </c>
    </row>
    <row r="49" spans="1:4" ht="15">
      <c r="A49" s="182" t="s">
        <v>2678</v>
      </c>
      <c r="B49" s="93"/>
      <c r="C49" s="72" t="s">
        <v>279</v>
      </c>
      <c r="D49" s="199">
        <v>130</v>
      </c>
    </row>
    <row r="50" spans="1:4" ht="15">
      <c r="A50" s="87" t="s">
        <v>2679</v>
      </c>
      <c r="B50" s="93"/>
      <c r="C50" s="72" t="s">
        <v>577</v>
      </c>
      <c r="D50" s="199">
        <f>0.75*2*130</f>
        <v>195</v>
      </c>
    </row>
    <row r="51" spans="1:4" ht="15">
      <c r="A51" s="87" t="s">
        <v>2695</v>
      </c>
      <c r="B51" s="138"/>
      <c r="C51" s="181" t="s">
        <v>371</v>
      </c>
      <c r="D51" s="199">
        <f>4+4</f>
        <v>8</v>
      </c>
    </row>
    <row r="52" spans="1:4" ht="15">
      <c r="A52" s="202" t="s">
        <v>291</v>
      </c>
      <c r="B52" s="144"/>
      <c r="C52" s="181" t="s">
        <v>279</v>
      </c>
      <c r="D52" s="199">
        <v>1.5</v>
      </c>
    </row>
    <row r="53" spans="1:4" ht="15" customHeight="1">
      <c r="A53" s="87" t="s">
        <v>2696</v>
      </c>
      <c r="B53" s="140"/>
      <c r="C53" s="181" t="s">
        <v>2697</v>
      </c>
      <c r="D53" s="199">
        <f>5+5+5</f>
        <v>15</v>
      </c>
    </row>
    <row r="54" spans="1:4" ht="15" customHeight="1">
      <c r="A54" s="87" t="s">
        <v>2485</v>
      </c>
      <c r="B54" s="140"/>
      <c r="C54" s="181" t="s">
        <v>328</v>
      </c>
      <c r="D54" s="199">
        <v>1</v>
      </c>
    </row>
    <row r="55" spans="1:4" ht="15" customHeight="1">
      <c r="A55" s="87" t="s">
        <v>325</v>
      </c>
      <c r="B55" s="140"/>
      <c r="C55" s="181" t="s">
        <v>370</v>
      </c>
      <c r="D55" s="199">
        <v>0.5</v>
      </c>
    </row>
    <row r="56" spans="1:4" s="73" customFormat="1" ht="15">
      <c r="A56" s="87" t="s">
        <v>2710</v>
      </c>
      <c r="B56" s="93"/>
      <c r="C56" s="72" t="s">
        <v>279</v>
      </c>
      <c r="D56" s="72">
        <v>2</v>
      </c>
    </row>
    <row r="57" spans="1:4" ht="15">
      <c r="A57" s="399" t="s">
        <v>2711</v>
      </c>
      <c r="B57" s="400"/>
      <c r="C57" s="72" t="s">
        <v>279</v>
      </c>
      <c r="D57" s="72">
        <v>2</v>
      </c>
    </row>
    <row r="58" spans="1:4" s="73" customFormat="1" ht="15">
      <c r="A58" s="87" t="s">
        <v>2712</v>
      </c>
      <c r="B58" s="93"/>
      <c r="C58" s="105" t="s">
        <v>850</v>
      </c>
      <c r="D58" s="72">
        <f>1.5+1.5</f>
        <v>3</v>
      </c>
    </row>
    <row r="59" spans="1:4" s="73" customFormat="1" ht="15">
      <c r="A59" s="87" t="s">
        <v>1594</v>
      </c>
      <c r="B59" s="93"/>
      <c r="C59" s="105" t="s">
        <v>390</v>
      </c>
      <c r="D59" s="72">
        <v>3</v>
      </c>
    </row>
    <row r="60" spans="1:4" s="73" customFormat="1" ht="15">
      <c r="A60" s="87" t="s">
        <v>2713</v>
      </c>
      <c r="B60" s="93"/>
      <c r="C60" s="72" t="s">
        <v>370</v>
      </c>
      <c r="D60" s="72">
        <v>1.5</v>
      </c>
    </row>
    <row r="61" spans="1:4" s="73" customFormat="1" ht="15">
      <c r="A61" s="87" t="s">
        <v>2714</v>
      </c>
      <c r="B61" s="93"/>
      <c r="C61" s="72" t="s">
        <v>370</v>
      </c>
      <c r="D61" s="72">
        <v>1.5</v>
      </c>
    </row>
    <row r="62" spans="1:4" ht="15">
      <c r="A62" s="350" t="s">
        <v>2715</v>
      </c>
      <c r="B62" s="351"/>
      <c r="C62" s="72" t="s">
        <v>328</v>
      </c>
      <c r="D62" s="72">
        <v>4</v>
      </c>
    </row>
    <row r="63" spans="1:4" s="73" customFormat="1" ht="15">
      <c r="A63" s="87" t="s">
        <v>2716</v>
      </c>
      <c r="B63" s="93"/>
      <c r="C63" s="72" t="s">
        <v>917</v>
      </c>
      <c r="D63" s="72">
        <f>1+1</f>
        <v>2</v>
      </c>
    </row>
    <row r="64" spans="1:4" s="73" customFormat="1" ht="15">
      <c r="A64" s="87" t="s">
        <v>2725</v>
      </c>
      <c r="B64" s="93"/>
      <c r="C64" s="72" t="s">
        <v>1157</v>
      </c>
      <c r="D64" s="72">
        <v>3</v>
      </c>
    </row>
    <row r="65" spans="1:4" s="73" customFormat="1" ht="15" customHeight="1">
      <c r="A65" s="87" t="s">
        <v>2413</v>
      </c>
      <c r="B65" s="88"/>
      <c r="C65" s="72" t="s">
        <v>400</v>
      </c>
      <c r="D65" s="72">
        <v>0.5</v>
      </c>
    </row>
    <row r="66" spans="1:4" s="73" customFormat="1" ht="15" customHeight="1">
      <c r="A66" s="87" t="s">
        <v>453</v>
      </c>
      <c r="B66" s="88"/>
      <c r="C66" s="72" t="s">
        <v>454</v>
      </c>
      <c r="D66" s="72">
        <v>0.6</v>
      </c>
    </row>
    <row r="67" spans="1:4" s="73" customFormat="1" ht="15" customHeight="1">
      <c r="A67" s="87" t="s">
        <v>455</v>
      </c>
      <c r="B67" s="88"/>
      <c r="C67" s="72" t="s">
        <v>400</v>
      </c>
      <c r="D67" s="72">
        <v>0.3</v>
      </c>
    </row>
    <row r="68" spans="1:4" s="73" customFormat="1" ht="42.75">
      <c r="A68" s="108" t="s">
        <v>489</v>
      </c>
      <c r="B68" s="88"/>
      <c r="C68" s="72" t="s">
        <v>400</v>
      </c>
      <c r="D68" s="72">
        <v>0.5</v>
      </c>
    </row>
    <row r="69" spans="1:4" s="73" customFormat="1" ht="36" customHeight="1">
      <c r="A69" s="278" t="s">
        <v>495</v>
      </c>
      <c r="B69" s="254"/>
      <c r="C69" s="72" t="s">
        <v>347</v>
      </c>
      <c r="D69" s="72">
        <v>4</v>
      </c>
    </row>
    <row r="70" spans="1:4" s="73" customFormat="1" ht="33.75" customHeight="1">
      <c r="A70" s="300" t="s">
        <v>505</v>
      </c>
      <c r="B70" s="301"/>
      <c r="C70" s="72" t="s">
        <v>506</v>
      </c>
      <c r="D70" s="72">
        <v>3</v>
      </c>
    </row>
    <row r="71" spans="1:4" s="73" customFormat="1" ht="15" customHeight="1">
      <c r="A71" s="202" t="s">
        <v>537</v>
      </c>
      <c r="B71" s="254"/>
      <c r="C71" s="72" t="s">
        <v>279</v>
      </c>
      <c r="D71" s="72">
        <v>2</v>
      </c>
    </row>
    <row r="72" spans="1:4" s="73" customFormat="1" ht="15">
      <c r="A72" s="87" t="s">
        <v>773</v>
      </c>
      <c r="B72" s="93"/>
      <c r="C72" s="72" t="s">
        <v>784</v>
      </c>
      <c r="D72" s="72">
        <v>2</v>
      </c>
    </row>
    <row r="73" spans="1:4" s="73" customFormat="1" ht="15">
      <c r="A73" s="87" t="s">
        <v>2733</v>
      </c>
      <c r="B73" s="93"/>
      <c r="C73" s="72" t="s">
        <v>499</v>
      </c>
      <c r="D73" s="72">
        <v>3</v>
      </c>
    </row>
    <row r="74" spans="1:4" s="73" customFormat="1" ht="15" customHeight="1">
      <c r="A74" s="87" t="s">
        <v>593</v>
      </c>
      <c r="B74" s="88"/>
      <c r="C74" s="72" t="s">
        <v>358</v>
      </c>
      <c r="D74" s="72">
        <v>4</v>
      </c>
    </row>
    <row r="75" spans="1:4" s="73" customFormat="1" ht="15">
      <c r="A75" s="87" t="s">
        <v>2742</v>
      </c>
      <c r="B75" s="93"/>
      <c r="C75" s="162" t="s">
        <v>506</v>
      </c>
      <c r="D75" s="162">
        <v>2</v>
      </c>
    </row>
    <row r="76" spans="1:4" ht="15">
      <c r="A76" s="181" t="s">
        <v>2743</v>
      </c>
      <c r="B76" s="181"/>
      <c r="C76" s="181" t="s">
        <v>347</v>
      </c>
      <c r="D76" s="181">
        <v>2</v>
      </c>
    </row>
    <row r="77" spans="1:4" s="73" customFormat="1" ht="15">
      <c r="A77" s="87" t="s">
        <v>2417</v>
      </c>
      <c r="B77" s="93"/>
      <c r="C77" s="72" t="s">
        <v>2418</v>
      </c>
      <c r="D77" s="72">
        <v>3</v>
      </c>
    </row>
    <row r="78" spans="1:4" s="73" customFormat="1" ht="15">
      <c r="A78" s="87" t="s">
        <v>2753</v>
      </c>
      <c r="B78" s="93"/>
      <c r="C78" s="162" t="s">
        <v>279</v>
      </c>
      <c r="D78" s="162">
        <v>2</v>
      </c>
    </row>
    <row r="79" spans="1:4" s="73" customFormat="1" ht="15">
      <c r="A79" s="72" t="s">
        <v>2754</v>
      </c>
      <c r="B79" s="72"/>
      <c r="C79" s="72" t="s">
        <v>613</v>
      </c>
      <c r="D79" s="72">
        <v>4</v>
      </c>
    </row>
    <row r="80" spans="1:4" s="73" customFormat="1" ht="15" customHeight="1">
      <c r="A80" s="62" t="s">
        <v>593</v>
      </c>
      <c r="B80" s="63"/>
      <c r="C80" s="77" t="s">
        <v>784</v>
      </c>
      <c r="D80" s="77">
        <v>2</v>
      </c>
    </row>
    <row r="81" spans="1:4" s="73" customFormat="1" ht="15" customHeight="1">
      <c r="A81" s="62" t="s">
        <v>453</v>
      </c>
      <c r="B81" s="63"/>
      <c r="C81" s="77" t="s">
        <v>454</v>
      </c>
      <c r="D81" s="77">
        <v>0.6</v>
      </c>
    </row>
    <row r="82" spans="1:4" s="73" customFormat="1" ht="15" customHeight="1">
      <c r="A82" s="62" t="s">
        <v>455</v>
      </c>
      <c r="B82" s="63"/>
      <c r="C82" s="77" t="s">
        <v>400</v>
      </c>
      <c r="D82" s="77">
        <v>0.3</v>
      </c>
    </row>
    <row r="83" spans="1:4" s="73" customFormat="1" ht="42.75">
      <c r="A83" s="100" t="s">
        <v>489</v>
      </c>
      <c r="B83" s="63"/>
      <c r="C83" s="77" t="s">
        <v>400</v>
      </c>
      <c r="D83" s="77">
        <v>0.5</v>
      </c>
    </row>
    <row r="84" spans="1:4" s="73" customFormat="1" ht="36" customHeight="1">
      <c r="A84" s="103" t="s">
        <v>495</v>
      </c>
      <c r="B84" s="65"/>
      <c r="C84" s="77" t="s">
        <v>347</v>
      </c>
      <c r="D84" s="77">
        <v>4</v>
      </c>
    </row>
    <row r="85" spans="1:4" s="73" customFormat="1" ht="33.75" customHeight="1">
      <c r="A85" s="104" t="s">
        <v>505</v>
      </c>
      <c r="B85" s="67"/>
      <c r="C85" s="77" t="s">
        <v>506</v>
      </c>
      <c r="D85" s="77">
        <v>3</v>
      </c>
    </row>
    <row r="86" spans="1:4" s="73" customFormat="1" ht="15" customHeight="1">
      <c r="A86" s="64" t="s">
        <v>537</v>
      </c>
      <c r="B86" s="65"/>
      <c r="C86" s="77" t="s">
        <v>279</v>
      </c>
      <c r="D86" s="77">
        <v>2</v>
      </c>
    </row>
    <row r="87" spans="1:4" ht="15">
      <c r="A87" s="64" t="s">
        <v>291</v>
      </c>
      <c r="B87" s="65"/>
      <c r="C87" s="77" t="s">
        <v>279</v>
      </c>
      <c r="D87" s="77">
        <v>1.5</v>
      </c>
    </row>
    <row r="88" spans="1:4" ht="15" customHeight="1">
      <c r="A88" s="64" t="s">
        <v>86</v>
      </c>
      <c r="B88" s="65"/>
      <c r="C88" s="77"/>
      <c r="D88" s="77"/>
    </row>
    <row r="89" spans="1:4" ht="15" customHeight="1">
      <c r="A89" s="68" t="s">
        <v>88</v>
      </c>
      <c r="B89" s="69"/>
      <c r="C89" s="77"/>
      <c r="D89" s="77"/>
    </row>
    <row r="90" spans="1:4" ht="15">
      <c r="A90" s="390" t="s">
        <v>90</v>
      </c>
      <c r="B90" s="391"/>
      <c r="C90" s="77"/>
      <c r="D90" s="77"/>
    </row>
    <row r="91" spans="1:4" ht="15">
      <c r="A91" s="362" t="s">
        <v>2652</v>
      </c>
      <c r="B91" s="91"/>
      <c r="C91" s="72" t="s">
        <v>2653</v>
      </c>
      <c r="D91" s="72">
        <f>6*3*130</f>
        <v>2340</v>
      </c>
    </row>
    <row r="92" spans="1:4" ht="15">
      <c r="A92" s="362" t="s">
        <v>2654</v>
      </c>
      <c r="B92" s="91"/>
      <c r="C92" s="72" t="s">
        <v>433</v>
      </c>
      <c r="D92" s="72">
        <f>2*130</f>
        <v>260</v>
      </c>
    </row>
    <row r="93" spans="1:4" ht="15">
      <c r="A93" s="362" t="s">
        <v>2655</v>
      </c>
      <c r="B93" s="91"/>
      <c r="C93" s="72" t="s">
        <v>748</v>
      </c>
      <c r="D93" s="72">
        <f>4*3*130</f>
        <v>1560</v>
      </c>
    </row>
    <row r="94" spans="1:4" ht="15">
      <c r="A94" s="362" t="s">
        <v>2656</v>
      </c>
      <c r="B94" s="91"/>
      <c r="C94" s="72" t="s">
        <v>1493</v>
      </c>
      <c r="D94" s="72">
        <f>4*2*130</f>
        <v>1040</v>
      </c>
    </row>
    <row r="95" spans="1:4" ht="15">
      <c r="A95" s="362" t="s">
        <v>2657</v>
      </c>
      <c r="B95" s="91"/>
      <c r="C95" s="72" t="s">
        <v>2658</v>
      </c>
      <c r="D95" s="72">
        <f>3*3*130</f>
        <v>1170</v>
      </c>
    </row>
    <row r="96" spans="1:4" ht="15">
      <c r="A96" s="364" t="s">
        <v>2659</v>
      </c>
      <c r="B96" s="91"/>
      <c r="C96" s="72" t="s">
        <v>394</v>
      </c>
      <c r="D96" s="72">
        <f>0.3*2*130</f>
        <v>78</v>
      </c>
    </row>
    <row r="97" spans="1:4" ht="15">
      <c r="A97" s="362" t="s">
        <v>2660</v>
      </c>
      <c r="B97" s="91"/>
      <c r="C97" s="72" t="s">
        <v>394</v>
      </c>
      <c r="D97" s="72">
        <f>0.4*2*130</f>
        <v>104</v>
      </c>
    </row>
    <row r="98" spans="1:4" ht="15">
      <c r="A98" s="362" t="s">
        <v>2661</v>
      </c>
      <c r="B98" s="91"/>
      <c r="C98" s="72" t="s">
        <v>342</v>
      </c>
      <c r="D98" s="72">
        <f>1.5*130</f>
        <v>195</v>
      </c>
    </row>
    <row r="99" spans="1:4" ht="15">
      <c r="A99" s="362" t="s">
        <v>2662</v>
      </c>
      <c r="B99" s="91"/>
      <c r="C99" s="72" t="s">
        <v>342</v>
      </c>
      <c r="D99" s="72">
        <f>1.5*130</f>
        <v>195</v>
      </c>
    </row>
    <row r="100" spans="1:4" ht="15">
      <c r="A100" s="362" t="s">
        <v>2663</v>
      </c>
      <c r="B100" s="91"/>
      <c r="C100" s="72" t="s">
        <v>400</v>
      </c>
      <c r="D100" s="72">
        <v>130</v>
      </c>
    </row>
    <row r="101" spans="1:4" ht="15">
      <c r="A101" s="362" t="s">
        <v>2664</v>
      </c>
      <c r="B101" s="91"/>
      <c r="C101" s="72" t="s">
        <v>613</v>
      </c>
      <c r="D101" s="72">
        <f>4*130*2</f>
        <v>1040</v>
      </c>
    </row>
    <row r="102" spans="1:4" ht="15">
      <c r="A102" s="362" t="s">
        <v>2665</v>
      </c>
      <c r="B102" s="91"/>
      <c r="C102" s="72" t="s">
        <v>1122</v>
      </c>
      <c r="D102" s="72">
        <f>130</f>
        <v>130</v>
      </c>
    </row>
    <row r="103" spans="1:4" ht="15">
      <c r="A103" s="362" t="s">
        <v>1736</v>
      </c>
      <c r="B103" s="91"/>
      <c r="C103" s="72" t="s">
        <v>279</v>
      </c>
      <c r="D103" s="72">
        <f>130*0.5</f>
        <v>65</v>
      </c>
    </row>
    <row r="104" spans="1:4" ht="15">
      <c r="A104" s="362" t="s">
        <v>2666</v>
      </c>
      <c r="B104" s="91"/>
      <c r="C104" s="72" t="s">
        <v>342</v>
      </c>
      <c r="D104" s="72">
        <f>0.4*130</f>
        <v>52</v>
      </c>
    </row>
    <row r="105" spans="1:4" ht="15">
      <c r="A105" s="362" t="s">
        <v>2667</v>
      </c>
      <c r="B105" s="91"/>
      <c r="C105" s="72" t="s">
        <v>342</v>
      </c>
      <c r="D105" s="72">
        <f>130</f>
        <v>130</v>
      </c>
    </row>
    <row r="106" spans="1:4" ht="15">
      <c r="A106" s="362" t="s">
        <v>791</v>
      </c>
      <c r="B106" s="91"/>
      <c r="C106" s="72" t="s">
        <v>360</v>
      </c>
      <c r="D106" s="72">
        <f>0.4*130</f>
        <v>52</v>
      </c>
    </row>
    <row r="107" spans="1:4" ht="15">
      <c r="A107" s="362" t="s">
        <v>2668</v>
      </c>
      <c r="B107" s="91"/>
      <c r="C107" s="72" t="s">
        <v>279</v>
      </c>
      <c r="D107" s="72">
        <f>2*130</f>
        <v>260</v>
      </c>
    </row>
    <row r="108" spans="1:4" ht="15">
      <c r="A108" s="362" t="s">
        <v>2669</v>
      </c>
      <c r="B108" s="91"/>
      <c r="C108" s="72" t="s">
        <v>279</v>
      </c>
      <c r="D108" s="72">
        <f>2*130</f>
        <v>260</v>
      </c>
    </row>
    <row r="109" spans="1:4" ht="15">
      <c r="A109" s="362" t="s">
        <v>1737</v>
      </c>
      <c r="B109" s="91"/>
      <c r="C109" s="72" t="s">
        <v>279</v>
      </c>
      <c r="D109" s="72">
        <f>130*0.5</f>
        <v>65</v>
      </c>
    </row>
    <row r="110" spans="1:4" ht="15">
      <c r="A110" s="362" t="s">
        <v>2670</v>
      </c>
      <c r="B110" s="355"/>
      <c r="C110" s="72" t="s">
        <v>279</v>
      </c>
      <c r="D110" s="72">
        <f>1.5*130</f>
        <v>195</v>
      </c>
    </row>
    <row r="111" spans="1:4" ht="15.75" thickBot="1">
      <c r="A111" s="362" t="s">
        <v>803</v>
      </c>
      <c r="B111" s="91"/>
      <c r="C111" s="72"/>
      <c r="D111" s="72">
        <f>6582.54-139.17</f>
        <v>6443.37</v>
      </c>
    </row>
    <row r="112" spans="1:4" ht="28.5" customHeight="1" thickBot="1">
      <c r="A112" s="405" t="s">
        <v>2676</v>
      </c>
      <c r="B112" s="406"/>
      <c r="C112" s="72"/>
      <c r="D112" s="72">
        <f>7354.4+130*230</f>
        <v>37254.4</v>
      </c>
    </row>
    <row r="113" spans="1:4" s="73" customFormat="1" ht="15">
      <c r="A113" s="352" t="s">
        <v>1219</v>
      </c>
      <c r="B113" s="116"/>
      <c r="C113" s="72" t="s">
        <v>342</v>
      </c>
      <c r="D113" s="72">
        <f>2*130</f>
        <v>260</v>
      </c>
    </row>
    <row r="114" spans="1:4" s="73" customFormat="1" ht="15">
      <c r="A114" s="352" t="s">
        <v>2680</v>
      </c>
      <c r="B114" s="116"/>
      <c r="C114" s="72" t="s">
        <v>2681</v>
      </c>
      <c r="D114" s="72">
        <f>7*130</f>
        <v>910</v>
      </c>
    </row>
    <row r="115" spans="1:4" ht="15">
      <c r="A115" s="362" t="s">
        <v>2682</v>
      </c>
      <c r="B115" s="91"/>
      <c r="C115" s="72" t="s">
        <v>328</v>
      </c>
      <c r="D115" s="199">
        <f>0.75*130</f>
        <v>97.5</v>
      </c>
    </row>
    <row r="116" spans="1:4" ht="15">
      <c r="A116" s="362" t="s">
        <v>2683</v>
      </c>
      <c r="B116" s="91"/>
      <c r="C116" s="72" t="s">
        <v>2681</v>
      </c>
      <c r="D116" s="199">
        <f>130*8</f>
        <v>1040</v>
      </c>
    </row>
    <row r="117" spans="1:4" ht="15">
      <c r="A117" s="362" t="s">
        <v>2684</v>
      </c>
      <c r="B117" s="91"/>
      <c r="C117" s="72" t="s">
        <v>279</v>
      </c>
      <c r="D117" s="199">
        <v>130</v>
      </c>
    </row>
    <row r="118" spans="1:4" ht="15">
      <c r="A118" s="363" t="s">
        <v>822</v>
      </c>
      <c r="B118" s="253"/>
      <c r="C118" s="72" t="s">
        <v>279</v>
      </c>
      <c r="D118" s="72">
        <f>130*0.5</f>
        <v>65</v>
      </c>
    </row>
    <row r="119" spans="1:4" ht="15">
      <c r="A119" s="362" t="s">
        <v>2685</v>
      </c>
      <c r="B119" s="91"/>
      <c r="C119" s="72" t="s">
        <v>342</v>
      </c>
      <c r="D119" s="199">
        <v>130</v>
      </c>
    </row>
    <row r="120" spans="1:4" ht="15">
      <c r="A120" s="362" t="s">
        <v>2686</v>
      </c>
      <c r="B120" s="91"/>
      <c r="C120" s="72" t="s">
        <v>342</v>
      </c>
      <c r="D120" s="199">
        <v>130</v>
      </c>
    </row>
    <row r="121" spans="1:4" ht="15">
      <c r="A121" s="362" t="s">
        <v>2687</v>
      </c>
      <c r="B121" s="91"/>
      <c r="C121" s="72" t="s">
        <v>1786</v>
      </c>
      <c r="D121" s="199">
        <v>130</v>
      </c>
    </row>
    <row r="122" spans="1:4" ht="15">
      <c r="A122" s="362" t="s">
        <v>2688</v>
      </c>
      <c r="B122" s="91"/>
      <c r="C122" s="72" t="s">
        <v>823</v>
      </c>
      <c r="D122" s="199">
        <f>175+130*2*3</f>
        <v>955</v>
      </c>
    </row>
    <row r="123" spans="1:4" ht="15" customHeight="1">
      <c r="A123" s="401" t="s">
        <v>2698</v>
      </c>
      <c r="B123" s="402"/>
      <c r="C123" s="181" t="s">
        <v>279</v>
      </c>
      <c r="D123" s="199">
        <v>0.5</v>
      </c>
    </row>
    <row r="124" spans="1:4" ht="15">
      <c r="A124" s="409" t="s">
        <v>2707</v>
      </c>
      <c r="B124" s="410"/>
      <c r="C124" s="181" t="s">
        <v>279</v>
      </c>
      <c r="D124" s="199">
        <v>2</v>
      </c>
    </row>
    <row r="125" spans="1:4" ht="15" customHeight="1">
      <c r="A125" s="352" t="s">
        <v>2699</v>
      </c>
      <c r="B125" s="354"/>
      <c r="C125" s="181" t="s">
        <v>360</v>
      </c>
      <c r="D125" s="199">
        <v>1</v>
      </c>
    </row>
    <row r="126" spans="1:4" ht="15" customHeight="1">
      <c r="A126" s="352" t="s">
        <v>2700</v>
      </c>
      <c r="B126" s="354"/>
      <c r="C126" s="181" t="s">
        <v>342</v>
      </c>
      <c r="D126" s="199">
        <v>1.5</v>
      </c>
    </row>
    <row r="127" spans="1:4" ht="15" customHeight="1">
      <c r="A127" s="352" t="s">
        <v>2701</v>
      </c>
      <c r="B127" s="354"/>
      <c r="C127" s="181" t="s">
        <v>400</v>
      </c>
      <c r="D127" s="199">
        <v>1</v>
      </c>
    </row>
    <row r="128" spans="1:4" ht="15" customHeight="1">
      <c r="A128" s="352" t="s">
        <v>301</v>
      </c>
      <c r="B128" s="354"/>
      <c r="C128" s="181" t="s">
        <v>279</v>
      </c>
      <c r="D128" s="199">
        <v>1.5</v>
      </c>
    </row>
    <row r="129" spans="1:4" ht="15" customHeight="1">
      <c r="A129" s="402" t="s">
        <v>404</v>
      </c>
      <c r="B129" s="413"/>
      <c r="C129" s="181" t="s">
        <v>400</v>
      </c>
      <c r="D129" s="199">
        <v>1.5</v>
      </c>
    </row>
    <row r="130" spans="1:4" s="73" customFormat="1" ht="15" customHeight="1">
      <c r="A130" s="401" t="s">
        <v>2717</v>
      </c>
      <c r="B130" s="402"/>
      <c r="C130" s="72" t="s">
        <v>342</v>
      </c>
      <c r="D130" s="72">
        <v>0.5</v>
      </c>
    </row>
    <row r="131" spans="1:4" s="73" customFormat="1" ht="15" customHeight="1">
      <c r="A131" s="401" t="s">
        <v>2718</v>
      </c>
      <c r="B131" s="402"/>
      <c r="C131" s="72" t="s">
        <v>342</v>
      </c>
      <c r="D131" s="72">
        <v>8</v>
      </c>
    </row>
    <row r="132" spans="1:4" s="73" customFormat="1" ht="15" customHeight="1">
      <c r="A132" s="401" t="s">
        <v>2726</v>
      </c>
      <c r="B132" s="402"/>
      <c r="C132" s="72" t="s">
        <v>400</v>
      </c>
      <c r="D132" s="72">
        <v>1</v>
      </c>
    </row>
    <row r="133" spans="1:4" s="73" customFormat="1" ht="15" customHeight="1">
      <c r="A133" s="352" t="s">
        <v>2727</v>
      </c>
      <c r="B133" s="354"/>
      <c r="C133" s="72" t="s">
        <v>279</v>
      </c>
      <c r="D133" s="72">
        <v>0.5</v>
      </c>
    </row>
    <row r="134" spans="1:4" s="73" customFormat="1" ht="15" customHeight="1">
      <c r="A134" s="352" t="s">
        <v>500</v>
      </c>
      <c r="B134" s="354"/>
      <c r="C134" s="72" t="s">
        <v>342</v>
      </c>
      <c r="D134" s="72">
        <v>1</v>
      </c>
    </row>
    <row r="135" spans="1:4" s="73" customFormat="1" ht="15" customHeight="1">
      <c r="A135" s="352" t="s">
        <v>511</v>
      </c>
      <c r="B135" s="354"/>
      <c r="C135" s="72" t="s">
        <v>342</v>
      </c>
      <c r="D135" s="72">
        <v>1</v>
      </c>
    </row>
    <row r="136" spans="1:4" s="73" customFormat="1" ht="15" customHeight="1">
      <c r="A136" s="401" t="s">
        <v>2734</v>
      </c>
      <c r="B136" s="402"/>
      <c r="C136" s="72" t="s">
        <v>279</v>
      </c>
      <c r="D136" s="72">
        <v>2</v>
      </c>
    </row>
    <row r="137" spans="1:4" s="73" customFormat="1" ht="15" customHeight="1">
      <c r="A137" s="401" t="s">
        <v>673</v>
      </c>
      <c r="B137" s="402"/>
      <c r="C137" s="72" t="s">
        <v>447</v>
      </c>
      <c r="D137" s="72">
        <v>4</v>
      </c>
    </row>
    <row r="138" spans="1:4" s="73" customFormat="1" ht="33.75" customHeight="1">
      <c r="A138" s="158" t="s">
        <v>712</v>
      </c>
      <c r="B138" s="159"/>
      <c r="C138" s="72" t="s">
        <v>709</v>
      </c>
      <c r="D138" s="72">
        <v>6</v>
      </c>
    </row>
    <row r="139" spans="1:4" s="73" customFormat="1" ht="15" customHeight="1">
      <c r="A139" s="87" t="s">
        <v>2744</v>
      </c>
      <c r="B139" s="88"/>
      <c r="C139" s="72" t="s">
        <v>342</v>
      </c>
      <c r="D139" s="72">
        <v>1.5</v>
      </c>
    </row>
    <row r="140" spans="1:4" s="73" customFormat="1" ht="15" customHeight="1">
      <c r="A140" s="87" t="s">
        <v>2745</v>
      </c>
      <c r="B140" s="88"/>
      <c r="C140" s="72" t="s">
        <v>279</v>
      </c>
      <c r="D140" s="72">
        <v>1</v>
      </c>
    </row>
    <row r="141" spans="1:4" s="73" customFormat="1" ht="15" customHeight="1">
      <c r="A141" s="352" t="s">
        <v>2746</v>
      </c>
      <c r="B141" s="354"/>
      <c r="C141" s="72" t="s">
        <v>342</v>
      </c>
      <c r="D141" s="72">
        <v>2</v>
      </c>
    </row>
    <row r="142" spans="1:4" s="73" customFormat="1" ht="17.25" customHeight="1">
      <c r="A142" s="401" t="s">
        <v>1821</v>
      </c>
      <c r="B142" s="402"/>
      <c r="C142" s="72" t="s">
        <v>1822</v>
      </c>
      <c r="D142" s="72">
        <v>1</v>
      </c>
    </row>
    <row r="143" spans="1:4" s="73" customFormat="1" ht="15" customHeight="1">
      <c r="A143" s="87" t="s">
        <v>2755</v>
      </c>
      <c r="B143" s="88"/>
      <c r="C143" s="72" t="s">
        <v>2756</v>
      </c>
      <c r="D143" s="72">
        <v>4</v>
      </c>
    </row>
    <row r="144" spans="1:4" s="73" customFormat="1" ht="15" customHeight="1">
      <c r="A144" s="352" t="s">
        <v>2757</v>
      </c>
      <c r="B144" s="354"/>
      <c r="C144" s="72" t="s">
        <v>1493</v>
      </c>
      <c r="D144" s="72">
        <v>2</v>
      </c>
    </row>
    <row r="145" spans="1:4" s="73" customFormat="1" ht="31.5" customHeight="1">
      <c r="A145" s="401" t="s">
        <v>2760</v>
      </c>
      <c r="B145" s="402"/>
      <c r="C145" s="72" t="s">
        <v>2634</v>
      </c>
      <c r="D145" s="72">
        <v>2</v>
      </c>
    </row>
    <row r="146" spans="1:4" s="73" customFormat="1" ht="15" customHeight="1">
      <c r="A146" s="87" t="s">
        <v>900</v>
      </c>
      <c r="B146" s="88"/>
      <c r="C146" s="72" t="s">
        <v>1083</v>
      </c>
      <c r="D146" s="72">
        <v>3</v>
      </c>
    </row>
    <row r="147" spans="1:4" s="73" customFormat="1" ht="29.25" customHeight="1">
      <c r="A147" s="352" t="s">
        <v>1941</v>
      </c>
      <c r="B147" s="354"/>
      <c r="C147" s="72" t="s">
        <v>328</v>
      </c>
      <c r="D147" s="72">
        <v>5</v>
      </c>
    </row>
    <row r="148" spans="1:4" s="73" customFormat="1" ht="32.25" customHeight="1">
      <c r="A148" s="352" t="s">
        <v>2761</v>
      </c>
      <c r="B148" s="354"/>
      <c r="C148" s="72" t="s">
        <v>1296</v>
      </c>
      <c r="D148" s="72">
        <v>4</v>
      </c>
    </row>
    <row r="149" spans="1:4" s="73" customFormat="1" ht="15" customHeight="1">
      <c r="A149" s="352" t="s">
        <v>1298</v>
      </c>
      <c r="B149" s="354"/>
      <c r="C149" s="72" t="s">
        <v>1299</v>
      </c>
      <c r="D149" s="72">
        <v>2</v>
      </c>
    </row>
    <row r="150" spans="1:4" s="73" customFormat="1" ht="33" customHeight="1">
      <c r="A150" s="356" t="s">
        <v>905</v>
      </c>
      <c r="B150" s="357"/>
      <c r="C150" s="105" t="s">
        <v>906</v>
      </c>
      <c r="D150" s="72">
        <v>1.2</v>
      </c>
    </row>
    <row r="151" spans="1:4" s="73" customFormat="1" ht="15">
      <c r="A151" s="402" t="s">
        <v>907</v>
      </c>
      <c r="B151" s="413"/>
      <c r="C151" s="72" t="s">
        <v>908</v>
      </c>
      <c r="D151" s="72">
        <v>2.25</v>
      </c>
    </row>
    <row r="152" spans="1:4" s="73" customFormat="1" ht="28.5">
      <c r="A152" s="356" t="s">
        <v>2762</v>
      </c>
      <c r="B152" s="357"/>
      <c r="C152" s="72" t="s">
        <v>1296</v>
      </c>
      <c r="D152" s="72">
        <v>3</v>
      </c>
    </row>
    <row r="153" spans="1:4" s="73" customFormat="1" ht="29.25" customHeight="1">
      <c r="A153" s="352" t="s">
        <v>1307</v>
      </c>
      <c r="B153" s="354"/>
      <c r="C153" s="105" t="s">
        <v>1308</v>
      </c>
      <c r="D153" s="72">
        <v>1.8</v>
      </c>
    </row>
    <row r="154" spans="1:4" s="73" customFormat="1" ht="18" customHeight="1">
      <c r="A154" s="352" t="s">
        <v>1089</v>
      </c>
      <c r="B154" s="354"/>
      <c r="C154" s="72" t="s">
        <v>1090</v>
      </c>
      <c r="D154" s="72">
        <v>1.5</v>
      </c>
    </row>
    <row r="155" spans="1:4" s="73" customFormat="1" ht="29.25" customHeight="1">
      <c r="A155" s="352" t="s">
        <v>2768</v>
      </c>
      <c r="B155" s="354"/>
      <c r="C155" s="72" t="s">
        <v>2769</v>
      </c>
      <c r="D155" s="72">
        <v>3</v>
      </c>
    </row>
    <row r="156" spans="1:4" s="73" customFormat="1" ht="18.75" customHeight="1">
      <c r="A156" s="356" t="s">
        <v>1310</v>
      </c>
      <c r="B156" s="357"/>
      <c r="C156" s="105" t="s">
        <v>1311</v>
      </c>
      <c r="D156" s="72">
        <v>3.4</v>
      </c>
    </row>
    <row r="157" spans="1:4" s="73" customFormat="1" ht="30" customHeight="1">
      <c r="A157" s="402" t="s">
        <v>2770</v>
      </c>
      <c r="B157" s="413"/>
      <c r="C157" s="72" t="s">
        <v>400</v>
      </c>
      <c r="D157" s="72">
        <v>1</v>
      </c>
    </row>
    <row r="158" spans="1:4" s="73" customFormat="1" ht="28.5">
      <c r="A158" s="356" t="s">
        <v>2771</v>
      </c>
      <c r="B158" s="357"/>
      <c r="C158" s="72" t="s">
        <v>360</v>
      </c>
      <c r="D158" s="72">
        <v>1</v>
      </c>
    </row>
    <row r="159" spans="1:4" s="73" customFormat="1" ht="28.5">
      <c r="A159" s="356" t="s">
        <v>2772</v>
      </c>
      <c r="B159" s="357"/>
      <c r="C159" s="72" t="s">
        <v>378</v>
      </c>
      <c r="D159" s="72">
        <v>1</v>
      </c>
    </row>
    <row r="160" spans="1:4" s="73" customFormat="1" ht="20.25" customHeight="1">
      <c r="A160" s="356" t="s">
        <v>2773</v>
      </c>
      <c r="B160" s="357"/>
      <c r="C160" s="72" t="s">
        <v>378</v>
      </c>
      <c r="D160" s="72">
        <v>1</v>
      </c>
    </row>
    <row r="161" spans="1:4" s="73" customFormat="1" ht="28.5">
      <c r="A161" s="356" t="s">
        <v>2774</v>
      </c>
      <c r="B161" s="357"/>
      <c r="C161" s="72" t="s">
        <v>577</v>
      </c>
      <c r="D161" s="72">
        <v>4</v>
      </c>
    </row>
    <row r="162" spans="1:4" s="73" customFormat="1" ht="28.5">
      <c r="A162" s="356" t="s">
        <v>2775</v>
      </c>
      <c r="B162" s="357"/>
      <c r="C162" s="72" t="s">
        <v>400</v>
      </c>
      <c r="D162" s="72">
        <v>1</v>
      </c>
    </row>
    <row r="163" spans="1:4" s="73" customFormat="1" ht="15" customHeight="1">
      <c r="A163" s="129" t="s">
        <v>500</v>
      </c>
      <c r="B163" s="132"/>
      <c r="C163" s="77" t="s">
        <v>342</v>
      </c>
      <c r="D163" s="77">
        <v>1</v>
      </c>
    </row>
    <row r="164" spans="1:4" s="73" customFormat="1" ht="15" customHeight="1">
      <c r="A164" s="129" t="s">
        <v>511</v>
      </c>
      <c r="B164" s="132"/>
      <c r="C164" s="77" t="s">
        <v>342</v>
      </c>
      <c r="D164" s="77">
        <v>1</v>
      </c>
    </row>
    <row r="165" spans="1:4" ht="15" customHeight="1">
      <c r="A165" s="129" t="s">
        <v>301</v>
      </c>
      <c r="B165" s="132"/>
      <c r="C165" s="77" t="s">
        <v>279</v>
      </c>
      <c r="D165" s="77">
        <v>1.5</v>
      </c>
    </row>
    <row r="166" spans="1:4" ht="15" customHeight="1">
      <c r="A166" s="437" t="s">
        <v>404</v>
      </c>
      <c r="B166" s="438"/>
      <c r="C166" s="77" t="s">
        <v>400</v>
      </c>
      <c r="D166" s="77">
        <v>1.5</v>
      </c>
    </row>
    <row r="167" spans="1:4" ht="15">
      <c r="A167" s="437" t="s">
        <v>96</v>
      </c>
      <c r="B167" s="438"/>
      <c r="C167" s="77"/>
      <c r="D167" s="77"/>
    </row>
    <row r="168" spans="1:4" ht="15.75" customHeight="1" thickBot="1">
      <c r="A168" s="439" t="s">
        <v>98</v>
      </c>
      <c r="B168" s="440"/>
      <c r="C168" s="77"/>
      <c r="D168" s="77"/>
    </row>
    <row r="169" spans="1:4" ht="15.75" thickBot="1">
      <c r="A169" s="377" t="s">
        <v>99</v>
      </c>
      <c r="B169" s="378"/>
      <c r="C169" s="77"/>
      <c r="D169" s="77"/>
    </row>
    <row r="170" spans="1:4" ht="30.75" customHeight="1" thickBot="1">
      <c r="A170" s="501" t="s">
        <v>307</v>
      </c>
      <c r="B170" s="502"/>
      <c r="C170" s="78" t="s">
        <v>424</v>
      </c>
      <c r="D170" s="80" t="s">
        <v>428</v>
      </c>
    </row>
    <row r="171" spans="1:4" ht="15.75" thickBot="1">
      <c r="A171" s="377" t="s">
        <v>101</v>
      </c>
      <c r="B171" s="378"/>
      <c r="C171" s="77"/>
      <c r="D171" s="77"/>
    </row>
    <row r="172" spans="1:4" ht="15.75" thickBot="1">
      <c r="A172" s="443" t="s">
        <v>102</v>
      </c>
      <c r="B172" s="375"/>
      <c r="C172" s="77" t="s">
        <v>243</v>
      </c>
      <c r="D172" s="77"/>
    </row>
    <row r="173" spans="1:4" ht="15">
      <c r="A173" s="362" t="s">
        <v>2671</v>
      </c>
      <c r="B173" s="355"/>
      <c r="C173" s="72" t="s">
        <v>243</v>
      </c>
      <c r="D173" s="72">
        <f>130</f>
        <v>130</v>
      </c>
    </row>
    <row r="174" spans="1:4" ht="15">
      <c r="A174" s="362" t="s">
        <v>2672</v>
      </c>
      <c r="B174" s="355"/>
      <c r="C174" s="72" t="s">
        <v>243</v>
      </c>
      <c r="D174" s="72">
        <f>2.5*130</f>
        <v>325</v>
      </c>
    </row>
    <row r="175" spans="1:4" ht="15">
      <c r="A175" s="362" t="s">
        <v>2673</v>
      </c>
      <c r="B175" s="355"/>
      <c r="C175" s="72" t="s">
        <v>243</v>
      </c>
      <c r="D175" s="72">
        <f>1.5*130</f>
        <v>195</v>
      </c>
    </row>
    <row r="176" spans="1:4" ht="15">
      <c r="A176" s="362" t="s">
        <v>2674</v>
      </c>
      <c r="B176" s="355"/>
      <c r="C176" s="72" t="s">
        <v>243</v>
      </c>
      <c r="D176" s="72">
        <v>130</v>
      </c>
    </row>
    <row r="177" spans="1:4" ht="15">
      <c r="A177" s="362" t="s">
        <v>2675</v>
      </c>
      <c r="B177" s="355"/>
      <c r="C177" s="72" t="s">
        <v>243</v>
      </c>
      <c r="D177" s="72">
        <v>130</v>
      </c>
    </row>
    <row r="178" spans="1:4" ht="15.75" thickBot="1">
      <c r="A178" s="362" t="s">
        <v>803</v>
      </c>
      <c r="B178" s="355"/>
      <c r="C178" s="72"/>
      <c r="D178" s="72">
        <f>98+9.17+32</f>
        <v>139.17000000000002</v>
      </c>
    </row>
    <row r="179" spans="1:4" ht="15">
      <c r="A179" s="525" t="s">
        <v>2677</v>
      </c>
      <c r="B179" s="526"/>
      <c r="C179" s="72"/>
      <c r="D179" s="72">
        <f>72+130+2</f>
        <v>204</v>
      </c>
    </row>
    <row r="180" spans="1:4" ht="15">
      <c r="A180" s="362" t="s">
        <v>2689</v>
      </c>
      <c r="B180" s="360"/>
      <c r="C180" s="72" t="s">
        <v>243</v>
      </c>
      <c r="D180" s="199">
        <v>130</v>
      </c>
    </row>
    <row r="181" spans="1:4" ht="15">
      <c r="A181" s="362" t="s">
        <v>2690</v>
      </c>
      <c r="B181" s="360"/>
      <c r="C181" s="72" t="s">
        <v>243</v>
      </c>
      <c r="D181" s="199">
        <f>130*1.5</f>
        <v>195</v>
      </c>
    </row>
    <row r="182" spans="1:4" ht="15">
      <c r="A182" s="362" t="s">
        <v>2691</v>
      </c>
      <c r="B182" s="360"/>
      <c r="C182" s="72" t="s">
        <v>243</v>
      </c>
      <c r="D182" s="199">
        <v>130</v>
      </c>
    </row>
    <row r="183" spans="1:4" ht="28.5">
      <c r="A183" s="362" t="s">
        <v>2692</v>
      </c>
      <c r="B183" s="360"/>
      <c r="C183" s="72" t="s">
        <v>243</v>
      </c>
      <c r="D183" s="199">
        <v>260</v>
      </c>
    </row>
    <row r="184" spans="1:4" ht="15">
      <c r="A184" s="362" t="s">
        <v>2702</v>
      </c>
      <c r="B184" s="135"/>
      <c r="C184" s="199"/>
      <c r="D184" s="199">
        <v>2</v>
      </c>
    </row>
    <row r="185" spans="1:4" ht="15">
      <c r="A185" s="362" t="s">
        <v>2703</v>
      </c>
      <c r="B185" s="135"/>
      <c r="C185" s="199"/>
      <c r="D185" s="199">
        <v>2</v>
      </c>
    </row>
    <row r="186" spans="1:4" ht="15">
      <c r="A186" s="362" t="s">
        <v>2704</v>
      </c>
      <c r="B186" s="135"/>
      <c r="C186" s="199"/>
      <c r="D186" s="199">
        <v>1</v>
      </c>
    </row>
    <row r="187" spans="1:4" ht="15">
      <c r="A187" s="362" t="s">
        <v>2705</v>
      </c>
      <c r="B187" s="135"/>
      <c r="C187" s="199"/>
      <c r="D187" s="199">
        <v>1.5</v>
      </c>
    </row>
    <row r="188" spans="1:4" ht="15">
      <c r="A188" s="364" t="s">
        <v>2706</v>
      </c>
      <c r="B188" s="135"/>
      <c r="C188" s="199"/>
      <c r="D188" s="199">
        <v>1</v>
      </c>
    </row>
    <row r="189" spans="1:4" ht="15">
      <c r="A189" s="362" t="s">
        <v>278</v>
      </c>
      <c r="B189" s="135"/>
      <c r="C189" s="199"/>
      <c r="D189" s="199">
        <v>1</v>
      </c>
    </row>
    <row r="190" spans="1:4" s="73" customFormat="1" ht="15">
      <c r="A190" s="362" t="s">
        <v>2719</v>
      </c>
      <c r="B190" s="91"/>
      <c r="C190" s="72" t="s">
        <v>243</v>
      </c>
      <c r="D190" s="72">
        <v>1</v>
      </c>
    </row>
    <row r="191" spans="1:4" s="73" customFormat="1" ht="15">
      <c r="A191" s="362" t="s">
        <v>2720</v>
      </c>
      <c r="B191" s="91"/>
      <c r="C191" s="72" t="s">
        <v>243</v>
      </c>
      <c r="D191" s="72">
        <v>1.5</v>
      </c>
    </row>
    <row r="192" spans="1:4" s="73" customFormat="1" ht="15">
      <c r="A192" s="362" t="s">
        <v>2721</v>
      </c>
      <c r="B192" s="91"/>
      <c r="C192" s="72" t="s">
        <v>243</v>
      </c>
      <c r="D192" s="72">
        <v>1</v>
      </c>
    </row>
    <row r="193" spans="1:4" ht="17.25" customHeight="1">
      <c r="A193" s="362" t="s">
        <v>2722</v>
      </c>
      <c r="B193" s="91"/>
      <c r="C193" s="72" t="s">
        <v>243</v>
      </c>
      <c r="D193" s="72">
        <v>2</v>
      </c>
    </row>
    <row r="194" spans="1:4" s="73" customFormat="1" ht="15">
      <c r="A194" s="362" t="s">
        <v>2728</v>
      </c>
      <c r="B194" s="91"/>
      <c r="C194" s="72" t="s">
        <v>243</v>
      </c>
      <c r="D194" s="72">
        <v>1</v>
      </c>
    </row>
    <row r="195" spans="1:4" s="73" customFormat="1" ht="15">
      <c r="A195" s="362" t="s">
        <v>2729</v>
      </c>
      <c r="B195" s="91"/>
      <c r="C195" s="72" t="s">
        <v>243</v>
      </c>
      <c r="D195" s="72">
        <v>0.5</v>
      </c>
    </row>
    <row r="196" spans="1:4" s="73" customFormat="1" ht="28.5">
      <c r="A196" s="362" t="s">
        <v>2730</v>
      </c>
      <c r="B196" s="91"/>
      <c r="C196" s="72" t="s">
        <v>243</v>
      </c>
      <c r="D196" s="72">
        <v>4</v>
      </c>
    </row>
    <row r="197" spans="1:4" s="73" customFormat="1" ht="15">
      <c r="A197" s="362" t="s">
        <v>2731</v>
      </c>
      <c r="B197" s="91"/>
      <c r="C197" s="72" t="s">
        <v>243</v>
      </c>
      <c r="D197" s="72">
        <v>0.5</v>
      </c>
    </row>
    <row r="198" spans="1:4" s="73" customFormat="1" ht="28.5">
      <c r="A198" s="364" t="s">
        <v>2732</v>
      </c>
      <c r="B198" s="91"/>
      <c r="C198" s="72" t="s">
        <v>243</v>
      </c>
      <c r="D198" s="72">
        <v>2</v>
      </c>
    </row>
    <row r="199" spans="1:4" s="73" customFormat="1" ht="15" customHeight="1">
      <c r="A199" s="362" t="s">
        <v>2735</v>
      </c>
      <c r="B199" s="91"/>
      <c r="C199" s="72" t="s">
        <v>243</v>
      </c>
      <c r="D199" s="72">
        <v>2</v>
      </c>
    </row>
    <row r="200" spans="1:4" s="73" customFormat="1" ht="15">
      <c r="A200" s="362" t="s">
        <v>2736</v>
      </c>
      <c r="B200" s="91"/>
      <c r="C200" s="72" t="s">
        <v>243</v>
      </c>
      <c r="D200" s="72">
        <v>1</v>
      </c>
    </row>
    <row r="201" spans="1:4" s="73" customFormat="1" ht="21.75" customHeight="1">
      <c r="A201" s="362" t="s">
        <v>2737</v>
      </c>
      <c r="B201" s="91"/>
      <c r="C201" s="72" t="s">
        <v>243</v>
      </c>
      <c r="D201" s="72">
        <v>4</v>
      </c>
    </row>
    <row r="202" spans="1:4" s="73" customFormat="1" ht="15">
      <c r="A202" s="362" t="s">
        <v>2738</v>
      </c>
      <c r="B202" s="91"/>
      <c r="C202" s="72" t="s">
        <v>243</v>
      </c>
      <c r="D202" s="72">
        <v>1</v>
      </c>
    </row>
    <row r="203" spans="1:4" s="73" customFormat="1" ht="15">
      <c r="A203" s="364" t="s">
        <v>2739</v>
      </c>
      <c r="B203" s="91"/>
      <c r="C203" s="72" t="s">
        <v>243</v>
      </c>
      <c r="D203" s="72">
        <v>1.5</v>
      </c>
    </row>
    <row r="204" spans="1:4" s="73" customFormat="1" ht="15">
      <c r="A204" s="362" t="s">
        <v>632</v>
      </c>
      <c r="B204" s="91"/>
      <c r="C204" s="72" t="s">
        <v>243</v>
      </c>
      <c r="D204" s="72">
        <v>0.5</v>
      </c>
    </row>
    <row r="205" spans="1:4" s="73" customFormat="1" ht="15" customHeight="1">
      <c r="A205" s="90" t="s">
        <v>656</v>
      </c>
      <c r="B205" s="91"/>
      <c r="C205" s="72" t="s">
        <v>243</v>
      </c>
      <c r="D205" s="72">
        <v>1.5</v>
      </c>
    </row>
    <row r="206" spans="1:4" s="73" customFormat="1" ht="15">
      <c r="A206" s="90" t="s">
        <v>684</v>
      </c>
      <c r="B206" s="91"/>
      <c r="C206" s="72" t="s">
        <v>243</v>
      </c>
      <c r="D206" s="72">
        <v>1.5</v>
      </c>
    </row>
    <row r="207" spans="1:4" s="73" customFormat="1" ht="16.5" customHeight="1">
      <c r="A207" s="90" t="s">
        <v>744</v>
      </c>
      <c r="B207" s="91"/>
      <c r="C207" s="72" t="s">
        <v>243</v>
      </c>
      <c r="D207" s="72">
        <v>1</v>
      </c>
    </row>
    <row r="208" spans="1:4" s="73" customFormat="1" ht="15">
      <c r="A208" s="90" t="s">
        <v>761</v>
      </c>
      <c r="B208" s="91"/>
      <c r="C208" s="72" t="s">
        <v>243</v>
      </c>
      <c r="D208" s="72">
        <v>2</v>
      </c>
    </row>
    <row r="209" spans="1:4" s="73" customFormat="1" ht="15">
      <c r="A209" s="186" t="s">
        <v>779</v>
      </c>
      <c r="B209" s="91"/>
      <c r="C209" s="72" t="s">
        <v>243</v>
      </c>
      <c r="D209" s="72">
        <v>2</v>
      </c>
    </row>
    <row r="210" spans="1:4" s="73" customFormat="1" ht="15" customHeight="1">
      <c r="A210" s="362" t="s">
        <v>2747</v>
      </c>
      <c r="B210" s="91"/>
      <c r="C210" s="72" t="s">
        <v>243</v>
      </c>
      <c r="D210" s="72">
        <v>1</v>
      </c>
    </row>
    <row r="211" spans="1:4" s="73" customFormat="1" ht="28.5">
      <c r="A211" s="362" t="s">
        <v>2748</v>
      </c>
      <c r="B211" s="91"/>
      <c r="C211" s="72" t="s">
        <v>243</v>
      </c>
      <c r="D211" s="72">
        <v>1.5</v>
      </c>
    </row>
    <row r="212" spans="1:4" s="73" customFormat="1" ht="16.5" customHeight="1">
      <c r="A212" s="362" t="s">
        <v>2749</v>
      </c>
      <c r="B212" s="91"/>
      <c r="C212" s="72" t="s">
        <v>243</v>
      </c>
      <c r="D212" s="72">
        <v>1</v>
      </c>
    </row>
    <row r="213" spans="1:4" s="73" customFormat="1" ht="15">
      <c r="A213" s="362" t="s">
        <v>2750</v>
      </c>
      <c r="B213" s="91"/>
      <c r="C213" s="72" t="s">
        <v>243</v>
      </c>
      <c r="D213" s="72">
        <v>2</v>
      </c>
    </row>
    <row r="214" spans="1:4" s="73" customFormat="1" ht="15">
      <c r="A214" s="364" t="s">
        <v>2751</v>
      </c>
      <c r="B214" s="91"/>
      <c r="C214" s="72" t="s">
        <v>243</v>
      </c>
      <c r="D214" s="72">
        <v>2</v>
      </c>
    </row>
    <row r="215" spans="1:4" s="73" customFormat="1" ht="15">
      <c r="A215" s="364" t="s">
        <v>2752</v>
      </c>
      <c r="B215" s="91"/>
      <c r="C215" s="72" t="s">
        <v>243</v>
      </c>
      <c r="D215" s="72">
        <v>5</v>
      </c>
    </row>
    <row r="216" spans="1:4" s="73" customFormat="1" ht="15" customHeight="1">
      <c r="A216" s="362" t="s">
        <v>2758</v>
      </c>
      <c r="B216" s="91"/>
      <c r="C216" s="72" t="s">
        <v>243</v>
      </c>
      <c r="D216" s="72">
        <v>1</v>
      </c>
    </row>
    <row r="217" spans="1:4" s="73" customFormat="1" ht="15">
      <c r="A217" s="362" t="s">
        <v>2759</v>
      </c>
      <c r="B217" s="91"/>
      <c r="C217" s="72" t="s">
        <v>243</v>
      </c>
      <c r="D217" s="72">
        <v>2</v>
      </c>
    </row>
    <row r="218" spans="1:4" s="73" customFormat="1" ht="15" customHeight="1">
      <c r="A218" s="362" t="s">
        <v>2763</v>
      </c>
      <c r="B218" s="91"/>
      <c r="C218" s="72" t="s">
        <v>243</v>
      </c>
      <c r="D218" s="72">
        <v>1</v>
      </c>
    </row>
    <row r="219" spans="1:4" s="73" customFormat="1" ht="28.5">
      <c r="A219" s="362" t="s">
        <v>2764</v>
      </c>
      <c r="B219" s="91"/>
      <c r="C219" s="72" t="s">
        <v>243</v>
      </c>
      <c r="D219" s="72">
        <v>1</v>
      </c>
    </row>
    <row r="220" spans="1:4" s="94" customFormat="1" ht="16.5" customHeight="1">
      <c r="A220" s="337" t="s">
        <v>2765</v>
      </c>
      <c r="B220" s="338"/>
      <c r="C220" s="199" t="s">
        <v>243</v>
      </c>
      <c r="D220" s="199">
        <v>1</v>
      </c>
    </row>
    <row r="221" spans="1:4" s="94" customFormat="1" ht="15">
      <c r="A221" s="337" t="s">
        <v>2766</v>
      </c>
      <c r="B221" s="338"/>
      <c r="C221" s="199" t="s">
        <v>243</v>
      </c>
      <c r="D221" s="199">
        <v>1</v>
      </c>
    </row>
    <row r="222" spans="1:4" s="73" customFormat="1" ht="28.5">
      <c r="A222" s="362" t="s">
        <v>2767</v>
      </c>
      <c r="B222" s="91"/>
      <c r="C222" s="72" t="s">
        <v>243</v>
      </c>
      <c r="D222" s="72">
        <v>4</v>
      </c>
    </row>
    <row r="223" spans="1:4" s="73" customFormat="1" ht="15">
      <c r="A223" s="364" t="s">
        <v>2538</v>
      </c>
      <c r="B223" s="91"/>
      <c r="C223" s="72" t="s">
        <v>243</v>
      </c>
      <c r="D223" s="72">
        <v>1.5</v>
      </c>
    </row>
    <row r="224" spans="1:4" s="73" customFormat="1" ht="29.25" customHeight="1">
      <c r="A224" s="362" t="s">
        <v>2776</v>
      </c>
      <c r="B224" s="91"/>
      <c r="C224" s="72" t="s">
        <v>243</v>
      </c>
      <c r="D224" s="72">
        <v>2</v>
      </c>
    </row>
    <row r="225" spans="1:4" s="73" customFormat="1" ht="28.5">
      <c r="A225" s="362" t="s">
        <v>2777</v>
      </c>
      <c r="B225" s="91"/>
      <c r="C225" s="72" t="s">
        <v>243</v>
      </c>
      <c r="D225" s="72">
        <v>1</v>
      </c>
    </row>
    <row r="226" spans="1:4" s="73" customFormat="1" ht="16.5" customHeight="1">
      <c r="A226" s="362" t="s">
        <v>2778</v>
      </c>
      <c r="B226" s="91"/>
      <c r="C226" s="72" t="s">
        <v>243</v>
      </c>
      <c r="D226" s="72">
        <v>1</v>
      </c>
    </row>
    <row r="227" spans="1:4" s="73" customFormat="1" ht="15">
      <c r="A227" s="362" t="s">
        <v>2779</v>
      </c>
      <c r="B227" s="91"/>
      <c r="C227" s="72" t="s">
        <v>243</v>
      </c>
      <c r="D227" s="72">
        <v>3</v>
      </c>
    </row>
    <row r="228" spans="1:4" s="73" customFormat="1" ht="15">
      <c r="A228" s="362" t="s">
        <v>2780</v>
      </c>
      <c r="B228" s="91"/>
      <c r="C228" s="72" t="s">
        <v>243</v>
      </c>
      <c r="D228" s="72">
        <v>1</v>
      </c>
    </row>
    <row r="229" spans="1:4" s="73" customFormat="1" ht="28.5">
      <c r="A229" s="362" t="s">
        <v>2781</v>
      </c>
      <c r="B229" s="91"/>
      <c r="C229" s="72" t="s">
        <v>243</v>
      </c>
      <c r="D229" s="72">
        <v>4</v>
      </c>
    </row>
    <row r="230" spans="1:4" s="73" customFormat="1" ht="15">
      <c r="A230" s="362" t="s">
        <v>2782</v>
      </c>
      <c r="B230" s="91"/>
      <c r="C230" s="72" t="s">
        <v>243</v>
      </c>
      <c r="D230" s="72">
        <v>0.5</v>
      </c>
    </row>
    <row r="231" spans="1:4" s="73" customFormat="1" ht="15">
      <c r="A231" s="362" t="s">
        <v>2783</v>
      </c>
      <c r="B231" s="91"/>
      <c r="C231" s="72" t="s">
        <v>243</v>
      </c>
      <c r="D231" s="72">
        <v>1</v>
      </c>
    </row>
    <row r="232" spans="1:4" ht="15">
      <c r="A232" s="304" t="s">
        <v>2784</v>
      </c>
      <c r="C232" s="267" t="s">
        <v>243</v>
      </c>
      <c r="D232" s="267">
        <v>1</v>
      </c>
    </row>
    <row r="233" spans="1:4" s="73" customFormat="1" ht="15">
      <c r="A233" s="95" t="s">
        <v>632</v>
      </c>
      <c r="B233" s="70"/>
      <c r="C233" s="77" t="s">
        <v>243</v>
      </c>
      <c r="D233" s="77">
        <v>0.5</v>
      </c>
    </row>
    <row r="234" spans="1:4" ht="15">
      <c r="A234" s="95" t="s">
        <v>278</v>
      </c>
      <c r="B234" s="70"/>
      <c r="C234" s="77"/>
      <c r="D234" s="77">
        <v>1</v>
      </c>
    </row>
    <row r="235" spans="1:4" ht="15.75" thickBot="1">
      <c r="A235" s="395" t="s">
        <v>103</v>
      </c>
      <c r="B235" s="396"/>
      <c r="C235" s="77"/>
      <c r="D235" s="77"/>
    </row>
    <row r="236" spans="1:4" ht="15.75" thickBot="1">
      <c r="A236" s="397" t="s">
        <v>104</v>
      </c>
      <c r="B236" s="398"/>
      <c r="C236" s="77"/>
      <c r="D236" s="77"/>
    </row>
    <row r="237" spans="1:4" ht="15">
      <c r="A237" s="79"/>
      <c r="B237" s="79"/>
      <c r="C237" s="76"/>
      <c r="D237" s="76"/>
    </row>
    <row r="238" spans="1:4" ht="15.75">
      <c r="A238" s="394" t="s">
        <v>233</v>
      </c>
      <c r="B238" s="394"/>
      <c r="C238" s="394"/>
      <c r="D238" s="394"/>
    </row>
    <row r="239" spans="1:4" ht="15">
      <c r="A239" s="76"/>
      <c r="B239" s="76"/>
      <c r="C239" s="76"/>
      <c r="D239" s="76"/>
    </row>
    <row r="240" spans="1:4" ht="15.75">
      <c r="A240" s="394" t="s">
        <v>234</v>
      </c>
      <c r="B240" s="394"/>
      <c r="C240" s="394"/>
      <c r="D240" s="394"/>
    </row>
  </sheetData>
  <sheetProtection/>
  <mergeCells count="66">
    <mergeCell ref="A17:B17"/>
    <mergeCell ref="A18:B18"/>
    <mergeCell ref="A123:B123"/>
    <mergeCell ref="A238:D238"/>
    <mergeCell ref="A240:D240"/>
    <mergeCell ref="A166:B166"/>
    <mergeCell ref="A167:B167"/>
    <mergeCell ref="A168:B168"/>
    <mergeCell ref="A169:B169"/>
    <mergeCell ref="A170:B170"/>
    <mergeCell ref="A171:B171"/>
    <mergeCell ref="A172:B172"/>
    <mergeCell ref="A235:B235"/>
    <mergeCell ref="A236:B236"/>
    <mergeCell ref="A179:B179"/>
    <mergeCell ref="A21:B21"/>
    <mergeCell ref="A57:B57"/>
    <mergeCell ref="A130:B130"/>
    <mergeCell ref="A1:D1"/>
    <mergeCell ref="A2:D2"/>
    <mergeCell ref="A3:D3"/>
    <mergeCell ref="A5:B5"/>
    <mergeCell ref="A6:B6"/>
    <mergeCell ref="A7:B7"/>
    <mergeCell ref="A8:B8"/>
    <mergeCell ref="A9:B9"/>
    <mergeCell ref="A10:B10"/>
    <mergeCell ref="A11:B11"/>
    <mergeCell ref="A12:B12"/>
    <mergeCell ref="A14:B14"/>
    <mergeCell ref="A15:B15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131:B131"/>
    <mergeCell ref="A129:B129"/>
    <mergeCell ref="A124:B124"/>
    <mergeCell ref="A39:B39"/>
    <mergeCell ref="A40:B40"/>
    <mergeCell ref="A41:B41"/>
    <mergeCell ref="A42:B42"/>
    <mergeCell ref="A44:B44"/>
    <mergeCell ref="A45:B45"/>
    <mergeCell ref="A46:B46"/>
    <mergeCell ref="A90:B90"/>
    <mergeCell ref="A112:B112"/>
    <mergeCell ref="A31:B31"/>
    <mergeCell ref="A32:B32"/>
    <mergeCell ref="A33:B33"/>
    <mergeCell ref="A35:B35"/>
    <mergeCell ref="A132:B132"/>
    <mergeCell ref="A151:B151"/>
    <mergeCell ref="A157:B157"/>
    <mergeCell ref="A142:B142"/>
    <mergeCell ref="A36:B36"/>
    <mergeCell ref="A37:B37"/>
    <mergeCell ref="A38:B38"/>
    <mergeCell ref="A145:B145"/>
    <mergeCell ref="A136:B136"/>
    <mergeCell ref="A137:B137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D68"/>
  <sheetViews>
    <sheetView zoomScalePageLayoutView="0" workbookViewId="0" topLeftCell="A25">
      <selection activeCell="A50" sqref="A50:IV50"/>
    </sheetView>
  </sheetViews>
  <sheetFormatPr defaultColWidth="9.140625" defaultRowHeight="15"/>
  <cols>
    <col min="1" max="1" width="80.8515625" style="0" customWidth="1"/>
    <col min="2" max="2" width="3.28125" style="0" hidden="1" customWidth="1"/>
    <col min="3" max="3" width="25.140625" style="0" customWidth="1"/>
  </cols>
  <sheetData>
    <row r="1" spans="1:4" ht="15.75">
      <c r="A1" s="381" t="s">
        <v>230</v>
      </c>
      <c r="B1" s="381"/>
      <c r="C1" s="381"/>
      <c r="D1" s="381"/>
    </row>
    <row r="2" spans="1:4" ht="15.75">
      <c r="A2" s="382" t="s">
        <v>241</v>
      </c>
      <c r="B2" s="382"/>
      <c r="C2" s="382"/>
      <c r="D2" s="382"/>
    </row>
    <row r="3" spans="1:4" s="55" customFormat="1" ht="15.75">
      <c r="A3" s="382" t="s">
        <v>2785</v>
      </c>
      <c r="B3" s="382"/>
      <c r="C3" s="382"/>
      <c r="D3" s="382"/>
    </row>
    <row r="4" spans="1:4" s="55" customFormat="1" ht="15.75">
      <c r="A4" s="165"/>
      <c r="B4" s="165"/>
      <c r="C4" s="89"/>
      <c r="D4" s="89"/>
    </row>
    <row r="5" spans="1:4" ht="30">
      <c r="A5" s="383" t="s">
        <v>229</v>
      </c>
      <c r="B5" s="384"/>
      <c r="C5" s="86" t="s">
        <v>231</v>
      </c>
      <c r="D5" s="85" t="s">
        <v>530</v>
      </c>
    </row>
    <row r="6" spans="1:4" ht="15">
      <c r="A6" s="383" t="s">
        <v>229</v>
      </c>
      <c r="B6" s="384"/>
      <c r="C6" s="73"/>
      <c r="D6" s="73"/>
    </row>
    <row r="7" spans="1:4" ht="15.75" thickBot="1">
      <c r="A7" s="379" t="s">
        <v>0</v>
      </c>
      <c r="B7" s="380"/>
      <c r="C7" s="76"/>
      <c r="D7" s="76"/>
    </row>
    <row r="8" spans="1:4" ht="15">
      <c r="A8" s="435" t="s">
        <v>24</v>
      </c>
      <c r="B8" s="436"/>
      <c r="C8" s="77"/>
      <c r="D8" s="77"/>
    </row>
    <row r="9" spans="1:4" ht="15">
      <c r="A9" s="435" t="s">
        <v>236</v>
      </c>
      <c r="B9" s="436"/>
      <c r="C9" s="77"/>
      <c r="D9" s="77"/>
    </row>
    <row r="10" spans="1:4" ht="15.75" thickBot="1">
      <c r="A10" s="451" t="s">
        <v>28</v>
      </c>
      <c r="B10" s="445"/>
      <c r="C10" s="77"/>
      <c r="D10" s="77"/>
    </row>
    <row r="11" spans="1:4" ht="15.75" thickBot="1">
      <c r="A11" s="375" t="s">
        <v>29</v>
      </c>
      <c r="B11" s="376"/>
      <c r="C11" s="77"/>
      <c r="D11" s="77"/>
    </row>
    <row r="12" spans="1:4" ht="15">
      <c r="A12" s="433" t="s">
        <v>45</v>
      </c>
      <c r="B12" s="434"/>
      <c r="C12" s="77"/>
      <c r="D12" s="77"/>
    </row>
    <row r="13" spans="1:4" ht="15.75" thickBot="1">
      <c r="A13" s="449" t="s">
        <v>55</v>
      </c>
      <c r="B13" s="450"/>
      <c r="C13" s="77"/>
      <c r="D13" s="77"/>
    </row>
    <row r="14" spans="1:4" ht="15.75" thickBot="1">
      <c r="A14" s="377" t="s">
        <v>56</v>
      </c>
      <c r="B14" s="378"/>
      <c r="C14" s="77"/>
      <c r="D14" s="77"/>
    </row>
    <row r="15" spans="1:4" ht="15">
      <c r="A15" s="529" t="s">
        <v>57</v>
      </c>
      <c r="B15" s="530"/>
      <c r="C15" s="81"/>
      <c r="D15" s="81"/>
    </row>
    <row r="16" spans="1:4" ht="15">
      <c r="A16" s="514" t="s">
        <v>2790</v>
      </c>
      <c r="B16" s="515"/>
      <c r="C16" s="181" t="s">
        <v>279</v>
      </c>
      <c r="D16" s="199">
        <v>2</v>
      </c>
    </row>
    <row r="17" spans="1:4" ht="15">
      <c r="A17" s="399" t="s">
        <v>1685</v>
      </c>
      <c r="B17" s="400"/>
      <c r="C17" s="181" t="s">
        <v>2789</v>
      </c>
      <c r="D17" s="199">
        <f>2+2+2</f>
        <v>6</v>
      </c>
    </row>
    <row r="18" spans="1:4" ht="15">
      <c r="A18" s="181" t="s">
        <v>543</v>
      </c>
      <c r="B18" s="181"/>
      <c r="C18" s="181" t="s">
        <v>400</v>
      </c>
      <c r="D18" s="181">
        <v>1</v>
      </c>
    </row>
    <row r="19" spans="1:4" s="73" customFormat="1" ht="15">
      <c r="A19" s="72" t="s">
        <v>1459</v>
      </c>
      <c r="B19" s="72"/>
      <c r="C19" s="72" t="s">
        <v>1460</v>
      </c>
      <c r="D19" s="72">
        <v>1.8</v>
      </c>
    </row>
    <row r="20" spans="1:4" s="73" customFormat="1" ht="15" customHeight="1">
      <c r="A20" s="399" t="s">
        <v>2791</v>
      </c>
      <c r="B20" s="400"/>
      <c r="C20" s="72" t="s">
        <v>1601</v>
      </c>
      <c r="D20" s="72">
        <v>9</v>
      </c>
    </row>
    <row r="21" spans="1:4" s="73" customFormat="1" ht="15">
      <c r="A21" s="72" t="s">
        <v>1717</v>
      </c>
      <c r="B21" s="72"/>
      <c r="C21" s="72" t="s">
        <v>279</v>
      </c>
      <c r="D21" s="72">
        <v>4</v>
      </c>
    </row>
    <row r="22" spans="1:4" s="73" customFormat="1" ht="15">
      <c r="A22" s="400" t="s">
        <v>1604</v>
      </c>
      <c r="B22" s="448"/>
      <c r="C22" s="72" t="s">
        <v>1083</v>
      </c>
      <c r="D22" s="72">
        <v>2</v>
      </c>
    </row>
    <row r="23" spans="1:4" s="73" customFormat="1" ht="15" customHeight="1">
      <c r="A23" s="399" t="s">
        <v>2793</v>
      </c>
      <c r="B23" s="400"/>
      <c r="C23" s="72" t="s">
        <v>433</v>
      </c>
      <c r="D23" s="72">
        <v>0.5</v>
      </c>
    </row>
    <row r="24" spans="1:4" s="73" customFormat="1" ht="15">
      <c r="A24" s="400" t="s">
        <v>2794</v>
      </c>
      <c r="B24" s="448"/>
      <c r="C24" s="72" t="s">
        <v>1296</v>
      </c>
      <c r="D24" s="72">
        <v>2</v>
      </c>
    </row>
    <row r="25" spans="1:4" s="73" customFormat="1" ht="15">
      <c r="A25" s="400" t="s">
        <v>1607</v>
      </c>
      <c r="B25" s="448"/>
      <c r="C25" s="72" t="s">
        <v>1608</v>
      </c>
      <c r="D25" s="72">
        <v>6</v>
      </c>
    </row>
    <row r="26" spans="1:4" ht="15">
      <c r="A26" s="77" t="s">
        <v>543</v>
      </c>
      <c r="B26" s="77"/>
      <c r="C26" s="77" t="s">
        <v>400</v>
      </c>
      <c r="D26" s="77">
        <v>1</v>
      </c>
    </row>
    <row r="27" spans="1:4" ht="15" customHeight="1">
      <c r="A27" s="435" t="s">
        <v>59</v>
      </c>
      <c r="B27" s="436"/>
      <c r="C27" s="77"/>
      <c r="D27" s="77"/>
    </row>
    <row r="28" spans="1:4" ht="15">
      <c r="A28" s="436" t="s">
        <v>60</v>
      </c>
      <c r="B28" s="447"/>
      <c r="C28" s="77"/>
      <c r="D28" s="77"/>
    </row>
    <row r="29" spans="1:4" ht="15">
      <c r="A29" s="436" t="s">
        <v>61</v>
      </c>
      <c r="B29" s="447"/>
      <c r="C29" s="77"/>
      <c r="D29" s="77"/>
    </row>
    <row r="30" spans="1:4" ht="15" customHeight="1">
      <c r="A30" s="436" t="s">
        <v>62</v>
      </c>
      <c r="B30" s="447"/>
      <c r="C30" s="77"/>
      <c r="D30" s="77"/>
    </row>
    <row r="31" spans="1:4" ht="15.75" customHeight="1" thickBot="1">
      <c r="A31" s="445" t="s">
        <v>63</v>
      </c>
      <c r="B31" s="446"/>
      <c r="C31" s="77"/>
      <c r="D31" s="77"/>
    </row>
    <row r="32" spans="1:4" ht="15.75" thickBot="1">
      <c r="A32" s="387" t="s">
        <v>64</v>
      </c>
      <c r="B32" s="377"/>
      <c r="C32" s="77"/>
      <c r="D32" s="77"/>
    </row>
    <row r="33" spans="1:4" ht="15">
      <c r="A33" s="388" t="s">
        <v>66</v>
      </c>
      <c r="B33" s="389"/>
      <c r="C33" s="77"/>
      <c r="D33" s="77"/>
    </row>
    <row r="34" spans="1:4" ht="15">
      <c r="A34" s="60" t="s">
        <v>68</v>
      </c>
      <c r="B34" s="61"/>
      <c r="C34" s="77"/>
      <c r="D34" s="77"/>
    </row>
    <row r="35" spans="1:4" ht="15">
      <c r="A35" s="399" t="s">
        <v>434</v>
      </c>
      <c r="B35" s="400"/>
      <c r="C35" s="72" t="s">
        <v>433</v>
      </c>
      <c r="D35" s="72">
        <v>2</v>
      </c>
    </row>
    <row r="36" spans="1:4" ht="15">
      <c r="A36" s="435" t="s">
        <v>434</v>
      </c>
      <c r="B36" s="436"/>
      <c r="C36" s="77" t="s">
        <v>433</v>
      </c>
      <c r="D36" s="77">
        <v>2</v>
      </c>
    </row>
    <row r="37" spans="1:4" ht="15" customHeight="1">
      <c r="A37" s="62" t="s">
        <v>72</v>
      </c>
      <c r="B37" s="63"/>
      <c r="C37" s="77"/>
      <c r="D37" s="77"/>
    </row>
    <row r="38" spans="1:4" ht="15" customHeight="1">
      <c r="A38" s="62" t="s">
        <v>74</v>
      </c>
      <c r="B38" s="63"/>
      <c r="C38" s="77"/>
      <c r="D38" s="77"/>
    </row>
    <row r="39" spans="1:4" ht="15">
      <c r="A39" s="62" t="s">
        <v>237</v>
      </c>
      <c r="B39" s="63"/>
      <c r="C39" s="77"/>
      <c r="D39" s="77"/>
    </row>
    <row r="40" spans="1:4" ht="15" customHeight="1">
      <c r="A40" s="64" t="s">
        <v>238</v>
      </c>
      <c r="B40" s="65"/>
      <c r="C40" s="77"/>
      <c r="D40" s="77"/>
    </row>
    <row r="41" spans="1:4" ht="15" customHeight="1">
      <c r="A41" s="66" t="s">
        <v>80</v>
      </c>
      <c r="B41" s="67"/>
      <c r="C41" s="77"/>
      <c r="D41" s="77"/>
    </row>
    <row r="42" spans="1:4" ht="15" customHeight="1">
      <c r="A42" s="64" t="s">
        <v>82</v>
      </c>
      <c r="B42" s="65"/>
      <c r="C42" s="77"/>
      <c r="D42" s="77"/>
    </row>
    <row r="43" spans="1:4" ht="15">
      <c r="A43" s="64" t="s">
        <v>84</v>
      </c>
      <c r="B43" s="65"/>
      <c r="C43" s="77"/>
      <c r="D43" s="77"/>
    </row>
    <row r="44" spans="1:4" ht="15" customHeight="1">
      <c r="A44" s="64" t="s">
        <v>86</v>
      </c>
      <c r="B44" s="65"/>
      <c r="C44" s="77"/>
      <c r="D44" s="77"/>
    </row>
    <row r="45" spans="1:4" ht="15" customHeight="1">
      <c r="A45" s="68" t="s">
        <v>88</v>
      </c>
      <c r="B45" s="69"/>
      <c r="C45" s="77"/>
      <c r="D45" s="77"/>
    </row>
    <row r="46" spans="1:4" ht="15">
      <c r="A46" s="390" t="s">
        <v>90</v>
      </c>
      <c r="B46" s="391"/>
      <c r="C46" s="77"/>
      <c r="D46" s="77"/>
    </row>
    <row r="47" spans="1:4" s="73" customFormat="1" ht="15" customHeight="1">
      <c r="A47" s="402" t="s">
        <v>786</v>
      </c>
      <c r="B47" s="413"/>
      <c r="C47" s="72" t="s">
        <v>714</v>
      </c>
      <c r="D47" s="72">
        <v>4</v>
      </c>
    </row>
    <row r="48" spans="1:4" s="73" customFormat="1" ht="29.25" customHeight="1">
      <c r="A48" s="402" t="s">
        <v>2795</v>
      </c>
      <c r="B48" s="413"/>
      <c r="C48" s="72" t="s">
        <v>2796</v>
      </c>
      <c r="D48" s="72">
        <v>4</v>
      </c>
    </row>
    <row r="49" spans="1:4" s="73" customFormat="1" ht="33" customHeight="1">
      <c r="A49" s="365" t="s">
        <v>905</v>
      </c>
      <c r="B49" s="366"/>
      <c r="C49" s="105" t="s">
        <v>906</v>
      </c>
      <c r="D49" s="72">
        <v>1.2</v>
      </c>
    </row>
    <row r="50" spans="1:4" s="73" customFormat="1" ht="29.25" customHeight="1">
      <c r="A50" s="402" t="s">
        <v>2797</v>
      </c>
      <c r="B50" s="413"/>
      <c r="C50" s="72" t="s">
        <v>528</v>
      </c>
      <c r="D50" s="72">
        <v>6</v>
      </c>
    </row>
    <row r="51" spans="1:4" ht="15">
      <c r="A51" s="437" t="s">
        <v>96</v>
      </c>
      <c r="B51" s="438"/>
      <c r="C51" s="77"/>
      <c r="D51" s="77"/>
    </row>
    <row r="52" spans="1:4" ht="15.75" customHeight="1" thickBot="1">
      <c r="A52" s="439" t="s">
        <v>98</v>
      </c>
      <c r="B52" s="440"/>
      <c r="C52" s="77"/>
      <c r="D52" s="77"/>
    </row>
    <row r="53" spans="1:4" ht="15.75" thickBot="1">
      <c r="A53" s="377" t="s">
        <v>99</v>
      </c>
      <c r="B53" s="378"/>
      <c r="C53" s="77"/>
      <c r="D53" s="77"/>
    </row>
    <row r="54" spans="1:4" ht="15.75" thickBot="1">
      <c r="A54" s="392" t="s">
        <v>100</v>
      </c>
      <c r="B54" s="393"/>
      <c r="C54" s="77"/>
      <c r="D54" s="77"/>
    </row>
    <row r="55" spans="1:4" ht="15.75" thickBot="1">
      <c r="A55" s="377" t="s">
        <v>101</v>
      </c>
      <c r="B55" s="378"/>
      <c r="C55" s="77"/>
      <c r="D55" s="77"/>
    </row>
    <row r="56" spans="1:4" ht="15.75" thickBot="1">
      <c r="A56" s="443" t="s">
        <v>102</v>
      </c>
      <c r="B56" s="375"/>
      <c r="C56" s="77"/>
      <c r="D56" s="77"/>
    </row>
    <row r="57" spans="1:4" s="73" customFormat="1" ht="15">
      <c r="A57" s="367" t="s">
        <v>2792</v>
      </c>
      <c r="B57" s="367"/>
      <c r="C57" s="72" t="s">
        <v>243</v>
      </c>
      <c r="D57" s="72">
        <v>3</v>
      </c>
    </row>
    <row r="58" spans="1:4" ht="15.75" thickBot="1">
      <c r="A58" s="395" t="s">
        <v>103</v>
      </c>
      <c r="B58" s="396"/>
      <c r="C58" s="77"/>
      <c r="D58" s="77"/>
    </row>
    <row r="59" spans="1:4" ht="15.75" thickBot="1">
      <c r="A59" s="397" t="s">
        <v>104</v>
      </c>
      <c r="B59" s="398"/>
      <c r="C59" s="77"/>
      <c r="D59" s="77"/>
    </row>
    <row r="60" spans="1:4" ht="15">
      <c r="A60" s="79"/>
      <c r="B60" s="79"/>
      <c r="C60" s="76"/>
      <c r="D60" s="76"/>
    </row>
    <row r="61" spans="1:4" ht="15.75">
      <c r="A61" s="394" t="s">
        <v>233</v>
      </c>
      <c r="B61" s="394"/>
      <c r="C61" s="394"/>
      <c r="D61" s="394"/>
    </row>
    <row r="62" spans="1:4" ht="15">
      <c r="A62" s="76"/>
      <c r="B62" s="76"/>
      <c r="C62" s="76"/>
      <c r="D62" s="76"/>
    </row>
    <row r="63" spans="1:4" ht="15.75">
      <c r="A63" s="394" t="s">
        <v>234</v>
      </c>
      <c r="B63" s="394"/>
      <c r="C63" s="394"/>
      <c r="D63" s="394"/>
    </row>
    <row r="66" ht="15">
      <c r="A66" t="s">
        <v>2787</v>
      </c>
    </row>
    <row r="67" ht="15">
      <c r="A67" t="s">
        <v>2786</v>
      </c>
    </row>
    <row r="68" ht="15">
      <c r="A68" t="s">
        <v>2788</v>
      </c>
    </row>
  </sheetData>
  <sheetProtection/>
  <mergeCells count="44">
    <mergeCell ref="A24:B24"/>
    <mergeCell ref="A48:B48"/>
    <mergeCell ref="A25:B25"/>
    <mergeCell ref="A50:B50"/>
    <mergeCell ref="A61:D61"/>
    <mergeCell ref="A63:D63"/>
    <mergeCell ref="A56:B56"/>
    <mergeCell ref="A58:B58"/>
    <mergeCell ref="A59:B59"/>
    <mergeCell ref="A55:B55"/>
    <mergeCell ref="A30:B30"/>
    <mergeCell ref="A31:B31"/>
    <mergeCell ref="A32:B32"/>
    <mergeCell ref="A33:B33"/>
    <mergeCell ref="A46:B46"/>
    <mergeCell ref="A47:B47"/>
    <mergeCell ref="A51:B51"/>
    <mergeCell ref="A52:B52"/>
    <mergeCell ref="A53:B53"/>
    <mergeCell ref="A54:B54"/>
    <mergeCell ref="A36:B36"/>
    <mergeCell ref="A35:B35"/>
    <mergeCell ref="A29:B29"/>
    <mergeCell ref="A8:B8"/>
    <mergeCell ref="A9:B9"/>
    <mergeCell ref="A10:B10"/>
    <mergeCell ref="A11:B11"/>
    <mergeCell ref="A12:B12"/>
    <mergeCell ref="A13:B13"/>
    <mergeCell ref="A14:B14"/>
    <mergeCell ref="A15:B15"/>
    <mergeCell ref="A27:B27"/>
    <mergeCell ref="A28:B28"/>
    <mergeCell ref="A17:B17"/>
    <mergeCell ref="A16:B16"/>
    <mergeCell ref="A20:B20"/>
    <mergeCell ref="A22:B22"/>
    <mergeCell ref="A23:B23"/>
    <mergeCell ref="A7:B7"/>
    <mergeCell ref="A1:D1"/>
    <mergeCell ref="A2:D2"/>
    <mergeCell ref="A3:D3"/>
    <mergeCell ref="A5:B5"/>
    <mergeCell ref="A6:B6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D134"/>
  <sheetViews>
    <sheetView zoomScalePageLayoutView="0" workbookViewId="0" topLeftCell="A1">
      <selection activeCell="H83" sqref="H83"/>
    </sheetView>
  </sheetViews>
  <sheetFormatPr defaultColWidth="9.140625" defaultRowHeight="15"/>
  <cols>
    <col min="1" max="1" width="85.8515625" style="0" customWidth="1"/>
    <col min="2" max="2" width="3.28125" style="0" hidden="1" customWidth="1"/>
    <col min="3" max="3" width="36.00390625" style="0" customWidth="1"/>
  </cols>
  <sheetData>
    <row r="1" spans="1:4" ht="15.75">
      <c r="A1" s="381" t="s">
        <v>230</v>
      </c>
      <c r="B1" s="381"/>
      <c r="C1" s="381"/>
      <c r="D1" s="381"/>
    </row>
    <row r="2" spans="1:4" ht="15.75">
      <c r="A2" s="382" t="s">
        <v>241</v>
      </c>
      <c r="B2" s="382"/>
      <c r="C2" s="382"/>
      <c r="D2" s="382"/>
    </row>
    <row r="3" spans="1:4" s="55" customFormat="1" ht="15.75">
      <c r="A3" s="382" t="s">
        <v>2798</v>
      </c>
      <c r="B3" s="382"/>
      <c r="C3" s="382"/>
      <c r="D3" s="382"/>
    </row>
    <row r="4" spans="1:4" s="55" customFormat="1" ht="15.75">
      <c r="A4" s="107"/>
      <c r="B4" s="107"/>
      <c r="C4" s="89"/>
      <c r="D4" s="89"/>
    </row>
    <row r="5" spans="1:4" ht="30">
      <c r="A5" s="383" t="s">
        <v>229</v>
      </c>
      <c r="B5" s="384"/>
      <c r="C5" s="86" t="s">
        <v>231</v>
      </c>
      <c r="D5" s="85" t="s">
        <v>530</v>
      </c>
    </row>
    <row r="6" spans="1:4" ht="15">
      <c r="A6" s="383" t="s">
        <v>229</v>
      </c>
      <c r="B6" s="384"/>
      <c r="C6" s="73"/>
      <c r="D6" s="73"/>
    </row>
    <row r="7" spans="1:4" ht="15.75" thickBot="1">
      <c r="A7" s="379" t="s">
        <v>0</v>
      </c>
      <c r="B7" s="380"/>
      <c r="C7" s="76"/>
      <c r="D7" s="76"/>
    </row>
    <row r="8" spans="1:4" ht="15">
      <c r="A8" s="435" t="s">
        <v>280</v>
      </c>
      <c r="B8" s="436"/>
      <c r="C8" s="77" t="s">
        <v>279</v>
      </c>
      <c r="D8" s="77">
        <v>1</v>
      </c>
    </row>
    <row r="9" spans="1:4" ht="15">
      <c r="A9" s="435" t="s">
        <v>236</v>
      </c>
      <c r="B9" s="436"/>
      <c r="C9" s="77"/>
      <c r="D9" s="77"/>
    </row>
    <row r="10" spans="1:4" ht="15.75" thickBot="1">
      <c r="A10" s="451" t="s">
        <v>28</v>
      </c>
      <c r="B10" s="445"/>
      <c r="C10" s="77"/>
      <c r="D10" s="77"/>
    </row>
    <row r="11" spans="1:4" ht="15.75" thickBot="1">
      <c r="A11" s="375" t="s">
        <v>29</v>
      </c>
      <c r="B11" s="376"/>
      <c r="C11" s="77"/>
      <c r="D11" s="77"/>
    </row>
    <row r="12" spans="1:4" ht="15">
      <c r="A12" s="433" t="s">
        <v>45</v>
      </c>
      <c r="B12" s="434"/>
      <c r="C12" s="77"/>
      <c r="D12" s="77"/>
    </row>
    <row r="13" spans="1:4" ht="15.75" thickBot="1">
      <c r="A13" s="449" t="s">
        <v>55</v>
      </c>
      <c r="B13" s="450"/>
      <c r="C13" s="77"/>
      <c r="D13" s="77"/>
    </row>
    <row r="14" spans="1:4" ht="15.75" thickBot="1">
      <c r="A14" s="377" t="s">
        <v>56</v>
      </c>
      <c r="B14" s="378"/>
      <c r="C14" s="77"/>
      <c r="D14" s="77"/>
    </row>
    <row r="15" spans="1:4" ht="15.75" thickBot="1">
      <c r="A15" s="375" t="s">
        <v>57</v>
      </c>
      <c r="B15" s="376"/>
      <c r="C15" s="77"/>
      <c r="D15" s="77"/>
    </row>
    <row r="16" spans="1:4" s="73" customFormat="1" ht="15.75" thickBot="1">
      <c r="A16" s="369" t="s">
        <v>1623</v>
      </c>
      <c r="B16" s="370"/>
      <c r="C16" s="72" t="s">
        <v>370</v>
      </c>
      <c r="D16" s="72">
        <f>1*130+175</f>
        <v>305</v>
      </c>
    </row>
    <row r="17" spans="1:4" s="73" customFormat="1" ht="15.75" thickBot="1">
      <c r="A17" s="369" t="s">
        <v>2799</v>
      </c>
      <c r="B17" s="370"/>
      <c r="C17" s="72" t="s">
        <v>342</v>
      </c>
      <c r="D17" s="72">
        <f>2.5*130+175</f>
        <v>500</v>
      </c>
    </row>
    <row r="18" spans="1:4" ht="29.25" customHeight="1">
      <c r="A18" s="399" t="s">
        <v>2833</v>
      </c>
      <c r="B18" s="400"/>
      <c r="C18" s="105" t="s">
        <v>896</v>
      </c>
      <c r="D18" s="72">
        <f>8+8+8</f>
        <v>24</v>
      </c>
    </row>
    <row r="19" spans="1:4" s="73" customFormat="1" ht="27.75" customHeight="1">
      <c r="A19" s="108" t="s">
        <v>2847</v>
      </c>
      <c r="B19" s="88"/>
      <c r="C19" s="105" t="s">
        <v>616</v>
      </c>
      <c r="D19" s="72">
        <v>2</v>
      </c>
    </row>
    <row r="20" spans="1:4" s="73" customFormat="1" ht="15">
      <c r="A20" s="72" t="s">
        <v>1717</v>
      </c>
      <c r="B20" s="72"/>
      <c r="C20" s="72" t="s">
        <v>279</v>
      </c>
      <c r="D20" s="72">
        <v>4</v>
      </c>
    </row>
    <row r="21" spans="1:4" s="136" customFormat="1" ht="15" customHeight="1">
      <c r="A21" s="474" t="s">
        <v>59</v>
      </c>
      <c r="B21" s="475"/>
      <c r="C21" s="109"/>
      <c r="D21" s="109"/>
    </row>
    <row r="22" spans="1:4" s="136" customFormat="1" ht="15">
      <c r="A22" s="475" t="s">
        <v>60</v>
      </c>
      <c r="B22" s="482"/>
      <c r="C22" s="109"/>
      <c r="D22" s="109"/>
    </row>
    <row r="23" spans="1:4" s="136" customFormat="1" ht="15">
      <c r="A23" s="475" t="s">
        <v>61</v>
      </c>
      <c r="B23" s="482"/>
      <c r="C23" s="109"/>
      <c r="D23" s="109"/>
    </row>
    <row r="24" spans="1:4" s="136" customFormat="1" ht="15" customHeight="1">
      <c r="A24" s="475" t="s">
        <v>62</v>
      </c>
      <c r="B24" s="482"/>
      <c r="C24" s="109"/>
      <c r="D24" s="109"/>
    </row>
    <row r="25" spans="1:4" s="136" customFormat="1" ht="15.75" customHeight="1" thickBot="1">
      <c r="A25" s="477" t="s">
        <v>63</v>
      </c>
      <c r="B25" s="483"/>
      <c r="C25" s="109"/>
      <c r="D25" s="109"/>
    </row>
    <row r="26" spans="1:4" s="136" customFormat="1" ht="15.75" thickBot="1">
      <c r="A26" s="484" t="s">
        <v>64</v>
      </c>
      <c r="B26" s="485"/>
      <c r="C26" s="109"/>
      <c r="D26" s="109"/>
    </row>
    <row r="27" spans="1:4" s="136" customFormat="1" ht="15">
      <c r="A27" s="486" t="s">
        <v>66</v>
      </c>
      <c r="B27" s="487"/>
      <c r="C27" s="109"/>
      <c r="D27" s="109"/>
    </row>
    <row r="28" spans="1:4" s="136" customFormat="1" ht="15">
      <c r="A28" s="137" t="s">
        <v>68</v>
      </c>
      <c r="B28" s="138"/>
      <c r="C28" s="109"/>
      <c r="D28" s="109"/>
    </row>
    <row r="29" spans="1:4" ht="15" customHeight="1">
      <c r="A29" s="87" t="s">
        <v>2824</v>
      </c>
      <c r="B29" s="140"/>
      <c r="C29" s="181" t="s">
        <v>371</v>
      </c>
      <c r="D29" s="199">
        <f>4+4</f>
        <v>8</v>
      </c>
    </row>
    <row r="30" spans="1:4" ht="15" customHeight="1">
      <c r="A30" s="87" t="s">
        <v>2825</v>
      </c>
      <c r="B30" s="140"/>
      <c r="C30" s="181" t="s">
        <v>371</v>
      </c>
      <c r="D30" s="199">
        <f>2.5+2.5</f>
        <v>5</v>
      </c>
    </row>
    <row r="31" spans="1:4" ht="15" customHeight="1">
      <c r="A31" s="87" t="s">
        <v>2826</v>
      </c>
      <c r="B31" s="140"/>
      <c r="C31" s="181" t="s">
        <v>2697</v>
      </c>
      <c r="D31" s="199">
        <f>4+4+4</f>
        <v>12</v>
      </c>
    </row>
    <row r="32" spans="1:4" ht="15">
      <c r="A32" s="87" t="s">
        <v>405</v>
      </c>
      <c r="B32" s="140"/>
      <c r="C32" s="181" t="s">
        <v>400</v>
      </c>
      <c r="D32" s="199">
        <v>3</v>
      </c>
    </row>
    <row r="33" spans="1:4" ht="15" customHeight="1">
      <c r="A33" s="87" t="s">
        <v>2834</v>
      </c>
      <c r="B33" s="88"/>
      <c r="C33" s="72" t="s">
        <v>279</v>
      </c>
      <c r="D33" s="72">
        <v>2</v>
      </c>
    </row>
    <row r="34" spans="1:4" ht="15" customHeight="1">
      <c r="A34" s="87" t="s">
        <v>2835</v>
      </c>
      <c r="B34" s="88"/>
      <c r="C34" s="72" t="s">
        <v>309</v>
      </c>
      <c r="D34" s="72">
        <v>4</v>
      </c>
    </row>
    <row r="35" spans="1:4" ht="15" customHeight="1">
      <c r="A35" s="87" t="s">
        <v>2836</v>
      </c>
      <c r="B35" s="88"/>
      <c r="C35" s="72" t="s">
        <v>309</v>
      </c>
      <c r="D35" s="72">
        <v>4</v>
      </c>
    </row>
    <row r="36" spans="1:4" s="73" customFormat="1" ht="48" customHeight="1">
      <c r="A36" s="108" t="s">
        <v>2839</v>
      </c>
      <c r="B36" s="88"/>
      <c r="C36" s="72" t="s">
        <v>2840</v>
      </c>
      <c r="D36" s="72">
        <v>12</v>
      </c>
    </row>
    <row r="37" spans="1:4" s="73" customFormat="1" ht="15" customHeight="1">
      <c r="A37" s="87" t="s">
        <v>2841</v>
      </c>
      <c r="B37" s="88"/>
      <c r="C37" s="72" t="s">
        <v>370</v>
      </c>
      <c r="D37" s="72">
        <v>1.5</v>
      </c>
    </row>
    <row r="38" spans="1:4" s="73" customFormat="1" ht="15" customHeight="1">
      <c r="A38" s="87" t="s">
        <v>545</v>
      </c>
      <c r="B38" s="88"/>
      <c r="C38" s="72" t="s">
        <v>546</v>
      </c>
      <c r="D38" s="72">
        <v>3</v>
      </c>
    </row>
    <row r="39" spans="1:4" s="73" customFormat="1" ht="28.5">
      <c r="A39" s="108" t="s">
        <v>547</v>
      </c>
      <c r="B39" s="88"/>
      <c r="C39" s="105" t="s">
        <v>548</v>
      </c>
      <c r="D39" s="72">
        <f>16+8</f>
        <v>24</v>
      </c>
    </row>
    <row r="40" spans="1:4" s="73" customFormat="1" ht="20.25" customHeight="1">
      <c r="A40" s="108" t="s">
        <v>594</v>
      </c>
      <c r="B40" s="88"/>
      <c r="C40" s="72" t="s">
        <v>279</v>
      </c>
      <c r="D40" s="72">
        <v>2</v>
      </c>
    </row>
    <row r="41" spans="1:4" s="73" customFormat="1" ht="27.75" customHeight="1">
      <c r="A41" s="108" t="s">
        <v>2848</v>
      </c>
      <c r="B41" s="88"/>
      <c r="C41" s="105" t="s">
        <v>616</v>
      </c>
      <c r="D41" s="72">
        <v>6</v>
      </c>
    </row>
    <row r="42" spans="1:4" s="73" customFormat="1" ht="14.25" customHeight="1">
      <c r="A42" s="87" t="s">
        <v>602</v>
      </c>
      <c r="B42" s="88"/>
      <c r="C42" s="72" t="s">
        <v>447</v>
      </c>
      <c r="D42" s="72">
        <v>6</v>
      </c>
    </row>
    <row r="43" spans="1:4" s="73" customFormat="1" ht="20.25" customHeight="1">
      <c r="A43" s="108" t="s">
        <v>2851</v>
      </c>
      <c r="B43" s="88"/>
      <c r="C43" s="72" t="s">
        <v>499</v>
      </c>
      <c r="D43" s="72">
        <v>6</v>
      </c>
    </row>
    <row r="44" spans="1:4" s="73" customFormat="1" ht="20.25" customHeight="1">
      <c r="A44" s="108" t="s">
        <v>2852</v>
      </c>
      <c r="B44" s="88"/>
      <c r="C44" s="105" t="s">
        <v>553</v>
      </c>
      <c r="D44" s="72">
        <v>2.5</v>
      </c>
    </row>
    <row r="45" spans="1:4" s="73" customFormat="1" ht="20.25" customHeight="1">
      <c r="A45" s="108" t="s">
        <v>2853</v>
      </c>
      <c r="B45" s="88"/>
      <c r="C45" s="105" t="s">
        <v>2854</v>
      </c>
      <c r="D45" s="72">
        <v>1</v>
      </c>
    </row>
    <row r="46" spans="1:4" s="73" customFormat="1" ht="14.25" customHeight="1">
      <c r="A46" s="87" t="s">
        <v>2855</v>
      </c>
      <c r="B46" s="88"/>
      <c r="C46" s="72" t="s">
        <v>357</v>
      </c>
      <c r="D46" s="72">
        <v>4</v>
      </c>
    </row>
    <row r="47" spans="1:4" s="73" customFormat="1" ht="30" customHeight="1">
      <c r="A47" s="108" t="s">
        <v>2861</v>
      </c>
      <c r="B47" s="88"/>
      <c r="C47" s="72" t="s">
        <v>2862</v>
      </c>
      <c r="D47" s="72">
        <v>9</v>
      </c>
    </row>
    <row r="48" spans="1:4" s="73" customFormat="1" ht="42.75" customHeight="1">
      <c r="A48" s="108" t="s">
        <v>2863</v>
      </c>
      <c r="B48" s="88"/>
      <c r="C48" s="105" t="s">
        <v>748</v>
      </c>
      <c r="D48" s="72">
        <v>9</v>
      </c>
    </row>
    <row r="49" spans="1:4" s="73" customFormat="1" ht="46.5" customHeight="1">
      <c r="A49" s="108" t="s">
        <v>2864</v>
      </c>
      <c r="B49" s="88"/>
      <c r="C49" s="105" t="s">
        <v>358</v>
      </c>
      <c r="D49" s="72">
        <v>6</v>
      </c>
    </row>
    <row r="50" spans="1:4" s="73" customFormat="1" ht="42.75">
      <c r="A50" s="371" t="s">
        <v>2865</v>
      </c>
      <c r="B50" s="91"/>
      <c r="C50" s="72" t="s">
        <v>358</v>
      </c>
      <c r="D50" s="72">
        <v>10</v>
      </c>
    </row>
    <row r="51" spans="1:4" s="136" customFormat="1" ht="20.25" customHeight="1">
      <c r="A51" s="139" t="s">
        <v>594</v>
      </c>
      <c r="B51" s="140"/>
      <c r="C51" s="109" t="s">
        <v>279</v>
      </c>
      <c r="D51" s="109">
        <v>2</v>
      </c>
    </row>
    <row r="52" spans="1:4" s="136" customFormat="1" ht="27.75" customHeight="1">
      <c r="A52" s="139" t="s">
        <v>611</v>
      </c>
      <c r="B52" s="140"/>
      <c r="C52" s="141" t="s">
        <v>616</v>
      </c>
      <c r="D52" s="109">
        <v>6</v>
      </c>
    </row>
    <row r="53" spans="1:4" s="136" customFormat="1" ht="14.25" customHeight="1">
      <c r="A53" s="142" t="s">
        <v>602</v>
      </c>
      <c r="B53" s="140"/>
      <c r="C53" s="109" t="s">
        <v>447</v>
      </c>
      <c r="D53" s="109">
        <v>6</v>
      </c>
    </row>
    <row r="54" spans="1:4" s="136" customFormat="1" ht="15" customHeight="1">
      <c r="A54" s="142" t="s">
        <v>545</v>
      </c>
      <c r="B54" s="140"/>
      <c r="C54" s="109" t="s">
        <v>546</v>
      </c>
      <c r="D54" s="109">
        <v>3</v>
      </c>
    </row>
    <row r="55" spans="1:4" s="136" customFormat="1" ht="28.5">
      <c r="A55" s="139" t="s">
        <v>547</v>
      </c>
      <c r="B55" s="140"/>
      <c r="C55" s="141" t="s">
        <v>548</v>
      </c>
      <c r="D55" s="109">
        <f>16+8</f>
        <v>24</v>
      </c>
    </row>
    <row r="56" spans="1:4" s="136" customFormat="1" ht="15" customHeight="1">
      <c r="A56" s="143" t="s">
        <v>645</v>
      </c>
      <c r="B56" s="144"/>
      <c r="C56" s="109"/>
      <c r="D56" s="109"/>
    </row>
    <row r="57" spans="1:4" s="136" customFormat="1" ht="15" customHeight="1">
      <c r="A57" s="145" t="s">
        <v>80</v>
      </c>
      <c r="B57" s="146"/>
      <c r="C57" s="109"/>
      <c r="D57" s="109"/>
    </row>
    <row r="58" spans="1:4" s="136" customFormat="1" ht="15" customHeight="1">
      <c r="A58" s="143" t="s">
        <v>82</v>
      </c>
      <c r="B58" s="144"/>
      <c r="C58" s="109"/>
      <c r="D58" s="109"/>
    </row>
    <row r="59" spans="1:4" s="136" customFormat="1" ht="15">
      <c r="A59" s="143" t="s">
        <v>84</v>
      </c>
      <c r="B59" s="144"/>
      <c r="C59" s="109"/>
      <c r="D59" s="109"/>
    </row>
    <row r="60" spans="1:4" s="136" customFormat="1" ht="15" customHeight="1">
      <c r="A60" s="143" t="s">
        <v>86</v>
      </c>
      <c r="B60" s="144"/>
      <c r="C60" s="109"/>
      <c r="D60" s="109"/>
    </row>
    <row r="61" spans="1:4" s="136" customFormat="1" ht="15" customHeight="1">
      <c r="A61" s="147" t="s">
        <v>88</v>
      </c>
      <c r="B61" s="148"/>
      <c r="C61" s="109"/>
      <c r="D61" s="109"/>
    </row>
    <row r="62" spans="1:4" s="136" customFormat="1" ht="15">
      <c r="A62" s="488" t="s">
        <v>90</v>
      </c>
      <c r="B62" s="489"/>
      <c r="C62" s="109"/>
      <c r="D62" s="109"/>
    </row>
    <row r="63" spans="1:4" s="73" customFormat="1" ht="30">
      <c r="A63" s="371" t="s">
        <v>2800</v>
      </c>
      <c r="B63" s="368"/>
      <c r="C63" s="105" t="s">
        <v>2801</v>
      </c>
      <c r="D63" s="72">
        <f>1.5*130*3+175</f>
        <v>760</v>
      </c>
    </row>
    <row r="64" spans="1:4" s="73" customFormat="1" ht="15">
      <c r="A64" s="371" t="s">
        <v>2802</v>
      </c>
      <c r="B64" s="368"/>
      <c r="C64" s="72" t="s">
        <v>850</v>
      </c>
      <c r="D64" s="72">
        <f>2*130*2+175</f>
        <v>695</v>
      </c>
    </row>
    <row r="65" spans="1:4" s="73" customFormat="1" ht="15">
      <c r="A65" s="367" t="s">
        <v>2803</v>
      </c>
      <c r="B65" s="367"/>
      <c r="C65" s="72" t="s">
        <v>613</v>
      </c>
      <c r="D65" s="72">
        <f>130*2+175</f>
        <v>435</v>
      </c>
    </row>
    <row r="66" spans="1:4" s="73" customFormat="1" ht="15">
      <c r="A66" s="367" t="s">
        <v>2804</v>
      </c>
      <c r="B66" s="367"/>
      <c r="C66" s="72" t="s">
        <v>279</v>
      </c>
      <c r="D66" s="72">
        <f>1.5*130+175</f>
        <v>370</v>
      </c>
    </row>
    <row r="67" spans="1:4" s="73" customFormat="1" ht="35.25" customHeight="1">
      <c r="A67" s="371" t="s">
        <v>2811</v>
      </c>
      <c r="B67" s="91"/>
      <c r="C67" s="105" t="s">
        <v>2812</v>
      </c>
      <c r="D67" s="72">
        <f>350+3*130*3</f>
        <v>1520</v>
      </c>
    </row>
    <row r="68" spans="1:4" s="73" customFormat="1" ht="30.75" customHeight="1">
      <c r="A68" s="371" t="s">
        <v>2813</v>
      </c>
      <c r="B68" s="91"/>
      <c r="C68" s="105" t="s">
        <v>2814</v>
      </c>
      <c r="D68" s="72">
        <f>350+130*3*8</f>
        <v>3470</v>
      </c>
    </row>
    <row r="69" spans="1:4" s="73" customFormat="1" ht="15">
      <c r="A69" s="371" t="s">
        <v>2815</v>
      </c>
      <c r="B69" s="91"/>
      <c r="C69" s="72" t="s">
        <v>347</v>
      </c>
      <c r="D69" s="72">
        <f>350+130*2*2</f>
        <v>870</v>
      </c>
    </row>
    <row r="70" spans="1:4" s="73" customFormat="1" ht="15">
      <c r="A70" s="371" t="s">
        <v>2816</v>
      </c>
      <c r="B70" s="91"/>
      <c r="C70" s="72" t="s">
        <v>347</v>
      </c>
      <c r="D70" s="72">
        <f>130*2*2+175</f>
        <v>695</v>
      </c>
    </row>
    <row r="71" spans="1:4" s="73" customFormat="1" ht="15">
      <c r="A71" s="371" t="s">
        <v>2817</v>
      </c>
      <c r="B71" s="91"/>
      <c r="C71" s="72" t="s">
        <v>347</v>
      </c>
      <c r="D71" s="72">
        <f>175+130*2*2</f>
        <v>695</v>
      </c>
    </row>
    <row r="72" spans="1:4" s="73" customFormat="1" ht="15">
      <c r="A72" s="371" t="s">
        <v>2818</v>
      </c>
      <c r="B72" s="91"/>
      <c r="C72" s="105" t="s">
        <v>699</v>
      </c>
      <c r="D72" s="72">
        <f>350+130*3*3</f>
        <v>1520</v>
      </c>
    </row>
    <row r="73" spans="1:4" ht="15" customHeight="1">
      <c r="A73" s="401" t="s">
        <v>2827</v>
      </c>
      <c r="B73" s="402"/>
      <c r="C73" s="181" t="s">
        <v>279</v>
      </c>
      <c r="D73" s="199">
        <v>1</v>
      </c>
    </row>
    <row r="74" spans="1:4" s="73" customFormat="1" ht="16.5" customHeight="1">
      <c r="A74" s="90" t="s">
        <v>646</v>
      </c>
      <c r="B74" s="91"/>
      <c r="C74" s="105" t="s">
        <v>384</v>
      </c>
      <c r="D74" s="72">
        <f>4*3</f>
        <v>12</v>
      </c>
    </row>
    <row r="75" spans="1:4" s="73" customFormat="1" ht="15.75" customHeight="1">
      <c r="A75" s="402" t="s">
        <v>681</v>
      </c>
      <c r="B75" s="413"/>
      <c r="C75" s="188" t="s">
        <v>682</v>
      </c>
      <c r="D75" s="72">
        <v>9</v>
      </c>
    </row>
    <row r="76" spans="1:4" s="73" customFormat="1" ht="15">
      <c r="A76" s="402" t="s">
        <v>787</v>
      </c>
      <c r="B76" s="413"/>
      <c r="C76" s="72" t="s">
        <v>378</v>
      </c>
      <c r="D76" s="72">
        <v>2</v>
      </c>
    </row>
    <row r="77" spans="1:4" ht="15">
      <c r="A77" s="399" t="s">
        <v>565</v>
      </c>
      <c r="B77" s="400"/>
      <c r="C77" s="72" t="s">
        <v>279</v>
      </c>
      <c r="D77" s="72">
        <v>0.75</v>
      </c>
    </row>
    <row r="78" spans="1:4" s="73" customFormat="1" ht="30">
      <c r="A78" s="371" t="s">
        <v>2849</v>
      </c>
      <c r="B78" s="91"/>
      <c r="C78" s="105" t="s">
        <v>2850</v>
      </c>
      <c r="D78" s="72">
        <f>3.5+24</f>
        <v>27.5</v>
      </c>
    </row>
    <row r="79" spans="1:4" s="73" customFormat="1" ht="16.5" customHeight="1">
      <c r="A79" s="371" t="s">
        <v>646</v>
      </c>
      <c r="B79" s="91"/>
      <c r="C79" s="105" t="s">
        <v>384</v>
      </c>
      <c r="D79" s="72">
        <f>4*3</f>
        <v>12</v>
      </c>
    </row>
    <row r="80" spans="1:4" s="73" customFormat="1" ht="15.75" customHeight="1">
      <c r="A80" s="402" t="s">
        <v>681</v>
      </c>
      <c r="B80" s="413"/>
      <c r="C80" s="188" t="s">
        <v>682</v>
      </c>
      <c r="D80" s="72">
        <v>9</v>
      </c>
    </row>
    <row r="81" spans="1:4" s="73" customFormat="1" ht="15">
      <c r="A81" s="402" t="s">
        <v>787</v>
      </c>
      <c r="B81" s="413"/>
      <c r="C81" s="72" t="s">
        <v>378</v>
      </c>
      <c r="D81" s="72">
        <v>2</v>
      </c>
    </row>
    <row r="82" spans="1:4" s="73" customFormat="1" ht="16.5" customHeight="1">
      <c r="A82" s="371" t="s">
        <v>2856</v>
      </c>
      <c r="B82" s="91"/>
      <c r="C82" s="105" t="s">
        <v>592</v>
      </c>
      <c r="D82" s="72">
        <v>2</v>
      </c>
    </row>
    <row r="83" spans="1:4" s="73" customFormat="1" ht="15.75" customHeight="1">
      <c r="A83" s="402" t="s">
        <v>2857</v>
      </c>
      <c r="B83" s="413"/>
      <c r="C83" s="188" t="s">
        <v>1608</v>
      </c>
      <c r="D83" s="72">
        <v>6</v>
      </c>
    </row>
    <row r="84" spans="1:4" s="73" customFormat="1" ht="31.5" customHeight="1">
      <c r="A84" s="402" t="s">
        <v>2858</v>
      </c>
      <c r="B84" s="413"/>
      <c r="C84" s="72" t="s">
        <v>592</v>
      </c>
      <c r="D84" s="72">
        <v>16</v>
      </c>
    </row>
    <row r="85" spans="1:4" s="73" customFormat="1" ht="15.75" customHeight="1">
      <c r="A85" s="424" t="s">
        <v>2859</v>
      </c>
      <c r="B85" s="425"/>
      <c r="C85" s="72" t="s">
        <v>592</v>
      </c>
      <c r="D85" s="72">
        <v>4</v>
      </c>
    </row>
    <row r="86" spans="1:4" s="73" customFormat="1" ht="15.75" customHeight="1">
      <c r="A86" s="367" t="s">
        <v>2860</v>
      </c>
      <c r="B86" s="116"/>
      <c r="C86" s="72" t="s">
        <v>1144</v>
      </c>
      <c r="D86" s="72">
        <v>6</v>
      </c>
    </row>
    <row r="87" spans="1:4" s="73" customFormat="1" ht="15">
      <c r="A87" s="87" t="s">
        <v>2866</v>
      </c>
      <c r="B87" s="88"/>
      <c r="C87" s="72" t="s">
        <v>394</v>
      </c>
      <c r="D87" s="72">
        <v>1</v>
      </c>
    </row>
    <row r="88" spans="1:4" s="136" customFormat="1" ht="15.75" customHeight="1" thickBot="1">
      <c r="A88" s="521" t="s">
        <v>98</v>
      </c>
      <c r="B88" s="522"/>
      <c r="C88" s="109"/>
      <c r="D88" s="109"/>
    </row>
    <row r="89" spans="1:4" s="136" customFormat="1" ht="15.75" thickBot="1">
      <c r="A89" s="485" t="s">
        <v>99</v>
      </c>
      <c r="B89" s="490"/>
      <c r="C89" s="109"/>
      <c r="D89" s="109"/>
    </row>
    <row r="90" spans="1:4" s="136" customFormat="1" ht="15.75" thickBot="1">
      <c r="A90" s="553" t="s">
        <v>100</v>
      </c>
      <c r="B90" s="554"/>
      <c r="C90" s="109"/>
      <c r="D90" s="109"/>
    </row>
    <row r="91" spans="1:4" s="136" customFormat="1" ht="15.75" thickBot="1">
      <c r="A91" s="485" t="s">
        <v>101</v>
      </c>
      <c r="B91" s="490"/>
      <c r="C91" s="109"/>
      <c r="D91" s="109"/>
    </row>
    <row r="92" spans="1:4" s="136" customFormat="1" ht="15.75" thickBot="1">
      <c r="A92" s="494" t="s">
        <v>102</v>
      </c>
      <c r="B92" s="478"/>
      <c r="C92" s="109" t="s">
        <v>243</v>
      </c>
      <c r="D92" s="109"/>
    </row>
    <row r="93" spans="1:4" s="73" customFormat="1" ht="15">
      <c r="A93" s="371" t="s">
        <v>2805</v>
      </c>
      <c r="B93" s="91"/>
      <c r="C93" s="72" t="s">
        <v>243</v>
      </c>
      <c r="D93" s="72">
        <f>130*1.5+32+175</f>
        <v>402</v>
      </c>
    </row>
    <row r="94" spans="1:4" s="73" customFormat="1" ht="15">
      <c r="A94" s="371" t="s">
        <v>2806</v>
      </c>
      <c r="B94" s="91"/>
      <c r="C94" s="72" t="s">
        <v>243</v>
      </c>
      <c r="D94" s="72">
        <f>1.25*130+175</f>
        <v>337.5</v>
      </c>
    </row>
    <row r="95" spans="1:4" s="73" customFormat="1" ht="15">
      <c r="A95" s="371" t="s">
        <v>2807</v>
      </c>
      <c r="B95" s="91"/>
      <c r="C95" s="72" t="s">
        <v>243</v>
      </c>
      <c r="D95" s="72">
        <f>1.5*130+175</f>
        <v>370</v>
      </c>
    </row>
    <row r="96" spans="1:4" s="73" customFormat="1" ht="15">
      <c r="A96" s="371" t="s">
        <v>2808</v>
      </c>
      <c r="B96" s="91"/>
      <c r="C96" s="72" t="s">
        <v>243</v>
      </c>
      <c r="D96" s="72">
        <f>0.75*130+175</f>
        <v>272.5</v>
      </c>
    </row>
    <row r="97" spans="1:4" s="73" customFormat="1" ht="15">
      <c r="A97" s="371" t="s">
        <v>2809</v>
      </c>
      <c r="B97" s="91"/>
      <c r="C97" s="72" t="s">
        <v>2810</v>
      </c>
      <c r="D97" s="72">
        <f>16+175+130</f>
        <v>321</v>
      </c>
    </row>
    <row r="98" spans="1:4" s="73" customFormat="1" ht="23.25" customHeight="1">
      <c r="A98" s="371" t="s">
        <v>2819</v>
      </c>
      <c r="B98" s="91"/>
      <c r="C98" s="72" t="s">
        <v>243</v>
      </c>
      <c r="D98" s="72">
        <f>175+130</f>
        <v>305</v>
      </c>
    </row>
    <row r="99" spans="1:4" s="73" customFormat="1" ht="15">
      <c r="A99" s="371" t="s">
        <v>2820</v>
      </c>
      <c r="B99" s="91"/>
      <c r="C99" s="72" t="s">
        <v>243</v>
      </c>
      <c r="D99" s="72">
        <f>175+130*3</f>
        <v>565</v>
      </c>
    </row>
    <row r="100" spans="1:4" s="73" customFormat="1" ht="15">
      <c r="A100" s="371" t="s">
        <v>2821</v>
      </c>
      <c r="B100" s="91"/>
      <c r="C100" s="72" t="s">
        <v>243</v>
      </c>
      <c r="D100" s="72">
        <f>1.5*130+175</f>
        <v>370</v>
      </c>
    </row>
    <row r="101" spans="1:4" s="73" customFormat="1" ht="15">
      <c r="A101" s="371" t="s">
        <v>2822</v>
      </c>
      <c r="B101" s="91"/>
      <c r="C101" s="72" t="s">
        <v>243</v>
      </c>
      <c r="D101" s="72">
        <f>1.5*130+175</f>
        <v>370</v>
      </c>
    </row>
    <row r="102" spans="1:4" s="73" customFormat="1" ht="15">
      <c r="A102" s="371" t="s">
        <v>2823</v>
      </c>
      <c r="B102" s="91"/>
      <c r="C102" s="72" t="s">
        <v>243</v>
      </c>
      <c r="D102" s="72">
        <f>130*4+175</f>
        <v>695</v>
      </c>
    </row>
    <row r="103" spans="1:4" ht="15">
      <c r="A103" s="371" t="s">
        <v>2828</v>
      </c>
      <c r="B103" s="135"/>
      <c r="C103" s="199"/>
      <c r="D103" s="199">
        <v>1.5</v>
      </c>
    </row>
    <row r="104" spans="1:4" ht="15">
      <c r="A104" s="371" t="s">
        <v>2829</v>
      </c>
      <c r="B104" s="135"/>
      <c r="C104" s="199"/>
      <c r="D104" s="199">
        <v>1.5</v>
      </c>
    </row>
    <row r="105" spans="1:4" ht="15">
      <c r="A105" s="371" t="s">
        <v>2830</v>
      </c>
      <c r="B105" s="135"/>
      <c r="C105" s="199"/>
      <c r="D105" s="199">
        <v>2</v>
      </c>
    </row>
    <row r="106" spans="1:4" ht="15">
      <c r="A106" s="371" t="s">
        <v>2831</v>
      </c>
      <c r="B106" s="135"/>
      <c r="C106" s="199"/>
      <c r="D106" s="199">
        <v>1.25</v>
      </c>
    </row>
    <row r="107" spans="1:4" ht="15">
      <c r="A107" s="371" t="s">
        <v>2832</v>
      </c>
      <c r="B107" s="135"/>
      <c r="C107" s="199"/>
      <c r="D107" s="199">
        <v>1.5</v>
      </c>
    </row>
    <row r="108" spans="1:4" s="73" customFormat="1" ht="15">
      <c r="A108" s="371" t="s">
        <v>2837</v>
      </c>
      <c r="B108" s="91"/>
      <c r="C108" s="72" t="s">
        <v>243</v>
      </c>
      <c r="D108" s="72">
        <v>2</v>
      </c>
    </row>
    <row r="109" spans="1:4" s="73" customFormat="1" ht="15">
      <c r="A109" s="371" t="s">
        <v>2838</v>
      </c>
      <c r="B109" s="91"/>
      <c r="C109" s="72" t="s">
        <v>243</v>
      </c>
      <c r="D109" s="72">
        <v>1.5</v>
      </c>
    </row>
    <row r="110" spans="1:4" s="73" customFormat="1" ht="15">
      <c r="A110" s="371" t="s">
        <v>2842</v>
      </c>
      <c r="B110" s="91"/>
      <c r="C110" s="72" t="s">
        <v>243</v>
      </c>
      <c r="D110" s="72">
        <v>2</v>
      </c>
    </row>
    <row r="111" spans="1:4" s="73" customFormat="1" ht="15">
      <c r="A111" s="371" t="s">
        <v>2843</v>
      </c>
      <c r="B111" s="91"/>
      <c r="C111" s="72" t="s">
        <v>243</v>
      </c>
      <c r="D111" s="72">
        <v>5</v>
      </c>
    </row>
    <row r="112" spans="1:4" s="73" customFormat="1" ht="28.5">
      <c r="A112" s="371" t="s">
        <v>2844</v>
      </c>
      <c r="B112" s="91"/>
      <c r="C112" s="72" t="s">
        <v>243</v>
      </c>
      <c r="D112" s="72">
        <v>2</v>
      </c>
    </row>
    <row r="113" spans="1:4" s="73" customFormat="1" ht="28.5">
      <c r="A113" s="371" t="s">
        <v>2845</v>
      </c>
      <c r="B113" s="91"/>
      <c r="C113" s="72" t="s">
        <v>243</v>
      </c>
      <c r="D113" s="72">
        <v>1</v>
      </c>
    </row>
    <row r="114" spans="1:4" s="73" customFormat="1" ht="15">
      <c r="A114" s="371" t="s">
        <v>2846</v>
      </c>
      <c r="B114" s="91"/>
      <c r="C114" s="72" t="s">
        <v>243</v>
      </c>
      <c r="D114" s="72">
        <v>2</v>
      </c>
    </row>
    <row r="115" spans="1:4" s="73" customFormat="1" ht="28.5">
      <c r="A115" s="371" t="s">
        <v>490</v>
      </c>
      <c r="B115" s="91"/>
      <c r="C115" s="72" t="s">
        <v>243</v>
      </c>
      <c r="D115" s="72">
        <v>4</v>
      </c>
    </row>
    <row r="116" spans="1:4" s="73" customFormat="1" ht="15">
      <c r="A116" s="371" t="s">
        <v>569</v>
      </c>
      <c r="B116" s="91"/>
      <c r="C116" s="72" t="s">
        <v>243</v>
      </c>
      <c r="D116" s="72">
        <v>1.5</v>
      </c>
    </row>
    <row r="117" spans="1:4" s="73" customFormat="1" ht="15">
      <c r="A117" s="371" t="s">
        <v>578</v>
      </c>
      <c r="B117" s="91"/>
      <c r="C117" s="72" t="s">
        <v>243</v>
      </c>
      <c r="D117" s="72">
        <v>2</v>
      </c>
    </row>
    <row r="118" spans="1:4" s="73" customFormat="1" ht="15">
      <c r="A118" s="371" t="s">
        <v>603</v>
      </c>
      <c r="B118" s="91"/>
      <c r="C118" s="72" t="s">
        <v>243</v>
      </c>
      <c r="D118" s="72">
        <v>2</v>
      </c>
    </row>
    <row r="119" spans="1:4" s="73" customFormat="1" ht="15">
      <c r="A119" s="371" t="s">
        <v>622</v>
      </c>
      <c r="B119" s="91"/>
      <c r="C119" s="72" t="s">
        <v>243</v>
      </c>
      <c r="D119" s="72">
        <v>1</v>
      </c>
    </row>
    <row r="120" spans="1:4" s="73" customFormat="1" ht="19.5" customHeight="1">
      <c r="A120" s="371" t="s">
        <v>629</v>
      </c>
      <c r="B120" s="91"/>
      <c r="C120" s="72" t="s">
        <v>243</v>
      </c>
      <c r="D120" s="72">
        <v>2</v>
      </c>
    </row>
    <row r="121" spans="1:4" s="73" customFormat="1" ht="15">
      <c r="A121" s="367" t="s">
        <v>2792</v>
      </c>
      <c r="B121" s="367"/>
      <c r="C121" s="72" t="s">
        <v>243</v>
      </c>
      <c r="D121" s="72">
        <v>3</v>
      </c>
    </row>
    <row r="122" spans="1:4" s="136" customFormat="1" ht="15">
      <c r="A122" s="134" t="s">
        <v>569</v>
      </c>
      <c r="B122" s="135"/>
      <c r="C122" s="109" t="s">
        <v>243</v>
      </c>
      <c r="D122" s="109">
        <v>1.5</v>
      </c>
    </row>
    <row r="123" spans="1:4" s="136" customFormat="1" ht="15">
      <c r="A123" s="134" t="s">
        <v>578</v>
      </c>
      <c r="B123" s="135"/>
      <c r="C123" s="109" t="s">
        <v>243</v>
      </c>
      <c r="D123" s="109">
        <v>2</v>
      </c>
    </row>
    <row r="124" spans="1:4" s="136" customFormat="1" ht="15">
      <c r="A124" s="134" t="s">
        <v>603</v>
      </c>
      <c r="B124" s="135"/>
      <c r="C124" s="109" t="s">
        <v>243</v>
      </c>
      <c r="D124" s="109">
        <v>2</v>
      </c>
    </row>
    <row r="125" spans="1:4" s="136" customFormat="1" ht="15">
      <c r="A125" s="134" t="s">
        <v>622</v>
      </c>
      <c r="B125" s="135"/>
      <c r="C125" s="109" t="s">
        <v>243</v>
      </c>
      <c r="D125" s="109">
        <v>1</v>
      </c>
    </row>
    <row r="126" spans="1:4" s="136" customFormat="1" ht="19.5" customHeight="1">
      <c r="A126" s="134" t="s">
        <v>629</v>
      </c>
      <c r="B126" s="135"/>
      <c r="C126" s="109" t="s">
        <v>243</v>
      </c>
      <c r="D126" s="109">
        <v>2</v>
      </c>
    </row>
    <row r="127" spans="1:4" s="136" customFormat="1" ht="28.5">
      <c r="A127" s="134" t="s">
        <v>490</v>
      </c>
      <c r="B127" s="135"/>
      <c r="C127" s="109" t="s">
        <v>243</v>
      </c>
      <c r="D127" s="109">
        <v>4</v>
      </c>
    </row>
    <row r="128" spans="1:4" s="136" customFormat="1" ht="15">
      <c r="A128" s="134"/>
      <c r="B128" s="135"/>
      <c r="C128" s="109"/>
      <c r="D128" s="109"/>
    </row>
    <row r="129" spans="1:4" s="136" customFormat="1" ht="15.75" thickBot="1">
      <c r="A129" s="546" t="s">
        <v>410</v>
      </c>
      <c r="B129" s="547"/>
      <c r="C129" s="109"/>
      <c r="D129" s="109"/>
    </row>
    <row r="130" spans="1:4" s="136" customFormat="1" ht="15.75" thickBot="1">
      <c r="A130" s="497" t="s">
        <v>104</v>
      </c>
      <c r="B130" s="498"/>
      <c r="C130" s="109"/>
      <c r="D130" s="109"/>
    </row>
    <row r="131" spans="1:4" ht="15">
      <c r="A131" s="79"/>
      <c r="B131" s="79"/>
      <c r="C131" s="76"/>
      <c r="D131" s="76"/>
    </row>
    <row r="132" spans="1:4" ht="15.75">
      <c r="A132" s="394" t="s">
        <v>233</v>
      </c>
      <c r="B132" s="394"/>
      <c r="C132" s="394"/>
      <c r="D132" s="394"/>
    </row>
    <row r="133" spans="1:4" ht="15">
      <c r="A133" s="76"/>
      <c r="B133" s="76"/>
      <c r="C133" s="76"/>
      <c r="D133" s="76"/>
    </row>
    <row r="134" spans="1:4" ht="15.75">
      <c r="A134" s="394" t="s">
        <v>234</v>
      </c>
      <c r="B134" s="394"/>
      <c r="C134" s="394"/>
      <c r="D134" s="394"/>
    </row>
  </sheetData>
  <sheetProtection/>
  <mergeCells count="41">
    <mergeCell ref="A83:B83"/>
    <mergeCell ref="A84:B84"/>
    <mergeCell ref="A85:B85"/>
    <mergeCell ref="A62:B62"/>
    <mergeCell ref="A132:D132"/>
    <mergeCell ref="A134:D134"/>
    <mergeCell ref="A75:B75"/>
    <mergeCell ref="A76:B76"/>
    <mergeCell ref="A88:B88"/>
    <mergeCell ref="A89:B89"/>
    <mergeCell ref="A90:B90"/>
    <mergeCell ref="A91:B91"/>
    <mergeCell ref="A92:B92"/>
    <mergeCell ref="A129:B129"/>
    <mergeCell ref="A130:B130"/>
    <mergeCell ref="A73:B73"/>
    <mergeCell ref="A77:B77"/>
    <mergeCell ref="A80:B80"/>
    <mergeCell ref="A81:B81"/>
    <mergeCell ref="A23:B23"/>
    <mergeCell ref="A24:B24"/>
    <mergeCell ref="A25:B25"/>
    <mergeCell ref="A26:B26"/>
    <mergeCell ref="A27:B27"/>
    <mergeCell ref="A14:B14"/>
    <mergeCell ref="A15:B15"/>
    <mergeCell ref="A21:B21"/>
    <mergeCell ref="A22:B22"/>
    <mergeCell ref="A18:B18"/>
    <mergeCell ref="A13:B13"/>
    <mergeCell ref="A1:D1"/>
    <mergeCell ref="A2:D2"/>
    <mergeCell ref="A3:D3"/>
    <mergeCell ref="A5:B5"/>
    <mergeCell ref="A6:B6"/>
    <mergeCell ref="A7:B7"/>
    <mergeCell ref="A8:B8"/>
    <mergeCell ref="A9:B9"/>
    <mergeCell ref="A10:B10"/>
    <mergeCell ref="A11:B11"/>
    <mergeCell ref="A12:B12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H78"/>
  <sheetViews>
    <sheetView tabSelected="1" zoomScalePageLayoutView="0" workbookViewId="0" topLeftCell="A25">
      <selection activeCell="A50" sqref="A50:IV53"/>
    </sheetView>
  </sheetViews>
  <sheetFormatPr defaultColWidth="9.140625" defaultRowHeight="15"/>
  <cols>
    <col min="1" max="1" width="84.28125" style="0" customWidth="1"/>
    <col min="2" max="2" width="3.28125" style="0" hidden="1" customWidth="1"/>
    <col min="3" max="3" width="25.00390625" style="0" customWidth="1"/>
  </cols>
  <sheetData>
    <row r="1" spans="1:4" ht="15.75">
      <c r="A1" s="381" t="s">
        <v>230</v>
      </c>
      <c r="B1" s="381"/>
      <c r="C1" s="381"/>
      <c r="D1" s="381"/>
    </row>
    <row r="2" spans="1:4" ht="15.75">
      <c r="A2" s="382" t="s">
        <v>242</v>
      </c>
      <c r="B2" s="382"/>
      <c r="C2" s="382"/>
      <c r="D2" s="382"/>
    </row>
    <row r="3" spans="1:4" s="55" customFormat="1" ht="15.75">
      <c r="A3" s="382" t="s">
        <v>566</v>
      </c>
      <c r="B3" s="382"/>
      <c r="C3" s="382"/>
      <c r="D3" s="382"/>
    </row>
    <row r="4" spans="1:4" s="55" customFormat="1" ht="15.75">
      <c r="A4" s="107"/>
      <c r="B4" s="107"/>
      <c r="C4" s="89"/>
      <c r="D4" s="89"/>
    </row>
    <row r="5" spans="1:4" ht="30">
      <c r="A5" s="383" t="s">
        <v>229</v>
      </c>
      <c r="B5" s="384"/>
      <c r="C5" s="86" t="s">
        <v>231</v>
      </c>
      <c r="D5" s="85" t="s">
        <v>530</v>
      </c>
    </row>
    <row r="6" spans="1:4" ht="15">
      <c r="A6" s="383" t="s">
        <v>229</v>
      </c>
      <c r="B6" s="384"/>
      <c r="C6" s="73"/>
      <c r="D6" s="73"/>
    </row>
    <row r="7" spans="1:4" ht="15.75" thickBot="1">
      <c r="A7" s="379" t="s">
        <v>0</v>
      </c>
      <c r="B7" s="380"/>
      <c r="C7" s="76"/>
      <c r="D7" s="76"/>
    </row>
    <row r="8" spans="1:4" ht="15">
      <c r="A8" s="435" t="s">
        <v>24</v>
      </c>
      <c r="B8" s="436"/>
      <c r="C8" s="77"/>
      <c r="D8" s="77"/>
    </row>
    <row r="9" spans="1:4" ht="15">
      <c r="A9" s="435" t="s">
        <v>236</v>
      </c>
      <c r="B9" s="436"/>
      <c r="C9" s="77"/>
      <c r="D9" s="77"/>
    </row>
    <row r="10" spans="1:4" ht="15.75" thickBot="1">
      <c r="A10" s="451" t="s">
        <v>28</v>
      </c>
      <c r="B10" s="445"/>
      <c r="C10" s="77"/>
      <c r="D10" s="77"/>
    </row>
    <row r="11" spans="1:4" ht="15.75" thickBot="1">
      <c r="A11" s="375" t="s">
        <v>29</v>
      </c>
      <c r="B11" s="376"/>
      <c r="C11" s="77"/>
      <c r="D11" s="77"/>
    </row>
    <row r="12" spans="1:4" ht="15">
      <c r="A12" s="433" t="s">
        <v>45</v>
      </c>
      <c r="B12" s="434"/>
      <c r="C12" s="77"/>
      <c r="D12" s="77"/>
    </row>
    <row r="13" spans="1:4" ht="15.75" thickBot="1">
      <c r="A13" s="449" t="s">
        <v>55</v>
      </c>
      <c r="B13" s="450"/>
      <c r="C13" s="77"/>
      <c r="D13" s="77"/>
    </row>
    <row r="14" spans="1:4" ht="15.75" thickBot="1">
      <c r="A14" s="377" t="s">
        <v>56</v>
      </c>
      <c r="B14" s="378"/>
      <c r="C14" s="77"/>
      <c r="D14" s="77"/>
    </row>
    <row r="15" spans="1:4" ht="15.75" thickBot="1">
      <c r="A15" s="375" t="s">
        <v>57</v>
      </c>
      <c r="B15" s="376"/>
      <c r="C15" s="77"/>
      <c r="D15" s="77"/>
    </row>
    <row r="16" spans="1:4" s="73" customFormat="1" ht="15.75" thickBot="1">
      <c r="A16" s="369" t="s">
        <v>1623</v>
      </c>
      <c r="B16" s="370"/>
      <c r="C16" s="72" t="s">
        <v>370</v>
      </c>
      <c r="D16" s="72">
        <f>1*130+175</f>
        <v>305</v>
      </c>
    </row>
    <row r="17" spans="1:4" ht="15">
      <c r="A17" s="399" t="s">
        <v>565</v>
      </c>
      <c r="B17" s="400"/>
      <c r="C17" s="72" t="s">
        <v>279</v>
      </c>
      <c r="D17" s="72">
        <v>0.75</v>
      </c>
    </row>
    <row r="18" spans="1:4" s="73" customFormat="1" ht="15">
      <c r="A18" s="399" t="s">
        <v>2881</v>
      </c>
      <c r="B18" s="400"/>
      <c r="C18" s="72" t="s">
        <v>2882</v>
      </c>
      <c r="D18" s="72">
        <v>6</v>
      </c>
    </row>
    <row r="19" spans="1:4" ht="15" customHeight="1">
      <c r="A19" s="435" t="s">
        <v>59</v>
      </c>
      <c r="B19" s="436"/>
      <c r="C19" s="77"/>
      <c r="D19" s="77"/>
    </row>
    <row r="20" spans="1:4" ht="15">
      <c r="A20" s="436" t="s">
        <v>60</v>
      </c>
      <c r="B20" s="447"/>
      <c r="C20" s="77"/>
      <c r="D20" s="77"/>
    </row>
    <row r="21" spans="1:4" ht="15">
      <c r="A21" s="436" t="s">
        <v>61</v>
      </c>
      <c r="B21" s="447"/>
      <c r="C21" s="77"/>
      <c r="D21" s="77"/>
    </row>
    <row r="22" spans="1:4" ht="15" customHeight="1">
      <c r="A22" s="436" t="s">
        <v>62</v>
      </c>
      <c r="B22" s="447"/>
      <c r="C22" s="77"/>
      <c r="D22" s="77"/>
    </row>
    <row r="23" spans="1:4" ht="15.75" customHeight="1" thickBot="1">
      <c r="A23" s="445" t="s">
        <v>63</v>
      </c>
      <c r="B23" s="446"/>
      <c r="C23" s="77"/>
      <c r="D23" s="77"/>
    </row>
    <row r="24" spans="1:4" ht="15.75" thickBot="1">
      <c r="A24" s="387" t="s">
        <v>64</v>
      </c>
      <c r="B24" s="377"/>
      <c r="C24" s="77"/>
      <c r="D24" s="77"/>
    </row>
    <row r="25" spans="1:8" ht="15">
      <c r="A25" s="388" t="s">
        <v>66</v>
      </c>
      <c r="B25" s="389"/>
      <c r="C25" s="77"/>
      <c r="D25" s="77"/>
      <c r="H25" t="s">
        <v>623</v>
      </c>
    </row>
    <row r="26" spans="1:4" ht="15">
      <c r="A26" s="60" t="s">
        <v>68</v>
      </c>
      <c r="B26" s="61"/>
      <c r="C26" s="77"/>
      <c r="D26" s="77"/>
    </row>
    <row r="27" spans="1:4" ht="15" customHeight="1">
      <c r="A27" s="402" t="s">
        <v>2869</v>
      </c>
      <c r="B27" s="413"/>
      <c r="C27" s="181" t="s">
        <v>2697</v>
      </c>
      <c r="D27" s="199">
        <f>4+4+4</f>
        <v>12</v>
      </c>
    </row>
    <row r="28" spans="1:4" ht="15">
      <c r="A28" s="87" t="s">
        <v>405</v>
      </c>
      <c r="B28" s="140"/>
      <c r="C28" s="181" t="s">
        <v>400</v>
      </c>
      <c r="D28" s="199">
        <v>3</v>
      </c>
    </row>
    <row r="29" spans="1:4" ht="29.25" customHeight="1">
      <c r="A29" s="87" t="s">
        <v>2870</v>
      </c>
      <c r="B29" s="88"/>
      <c r="C29" s="105" t="s">
        <v>850</v>
      </c>
      <c r="D29" s="72">
        <f>1.5+1.5</f>
        <v>3</v>
      </c>
    </row>
    <row r="30" spans="1:4" ht="30.75" customHeight="1">
      <c r="A30" s="108" t="s">
        <v>2871</v>
      </c>
      <c r="B30" s="88"/>
      <c r="C30" s="105" t="s">
        <v>1777</v>
      </c>
      <c r="D30" s="72">
        <f>5+5+5</f>
        <v>15</v>
      </c>
    </row>
    <row r="31" spans="1:4" s="73" customFormat="1" ht="14.25" customHeight="1">
      <c r="A31" s="87" t="s">
        <v>602</v>
      </c>
      <c r="B31" s="88"/>
      <c r="C31" s="72" t="s">
        <v>400</v>
      </c>
      <c r="D31" s="72">
        <v>2</v>
      </c>
    </row>
    <row r="32" spans="1:4" s="73" customFormat="1" ht="25.5" customHeight="1">
      <c r="A32" s="108" t="s">
        <v>2876</v>
      </c>
      <c r="B32" s="88"/>
      <c r="C32" s="105" t="s">
        <v>2854</v>
      </c>
      <c r="D32" s="72">
        <v>6</v>
      </c>
    </row>
    <row r="33" spans="1:4" ht="15" customHeight="1">
      <c r="A33" s="62" t="s">
        <v>74</v>
      </c>
      <c r="B33" s="63"/>
      <c r="C33" s="77"/>
      <c r="D33" s="77"/>
    </row>
    <row r="34" spans="1:4" ht="15">
      <c r="A34" s="62" t="s">
        <v>237</v>
      </c>
      <c r="B34" s="63"/>
      <c r="C34" s="77"/>
      <c r="D34" s="77"/>
    </row>
    <row r="35" spans="1:4" ht="15" customHeight="1">
      <c r="A35" s="64" t="s">
        <v>238</v>
      </c>
      <c r="B35" s="65"/>
      <c r="C35" s="77"/>
      <c r="D35" s="77"/>
    </row>
    <row r="36" spans="1:4" ht="15" customHeight="1">
      <c r="A36" s="66" t="s">
        <v>80</v>
      </c>
      <c r="B36" s="67"/>
      <c r="C36" s="77"/>
      <c r="D36" s="77"/>
    </row>
    <row r="37" spans="1:4" ht="15" customHeight="1">
      <c r="A37" s="64" t="s">
        <v>82</v>
      </c>
      <c r="B37" s="65"/>
      <c r="C37" s="77"/>
      <c r="D37" s="77"/>
    </row>
    <row r="38" spans="1:4" ht="15">
      <c r="A38" s="64" t="s">
        <v>84</v>
      </c>
      <c r="B38" s="65"/>
      <c r="C38" s="77"/>
      <c r="D38" s="77"/>
    </row>
    <row r="39" spans="1:4" ht="15" customHeight="1">
      <c r="A39" s="64" t="s">
        <v>86</v>
      </c>
      <c r="B39" s="65"/>
      <c r="C39" s="77"/>
      <c r="D39" s="77"/>
    </row>
    <row r="40" spans="1:4" ht="15" customHeight="1">
      <c r="A40" s="68" t="s">
        <v>88</v>
      </c>
      <c r="B40" s="69"/>
      <c r="C40" s="77"/>
      <c r="D40" s="77"/>
    </row>
    <row r="41" spans="1:4" ht="15">
      <c r="A41" s="390" t="s">
        <v>90</v>
      </c>
      <c r="B41" s="391"/>
      <c r="C41" s="77"/>
      <c r="D41" s="77"/>
    </row>
    <row r="42" spans="1:4" ht="15" customHeight="1">
      <c r="A42" s="401" t="s">
        <v>2827</v>
      </c>
      <c r="B42" s="402"/>
      <c r="C42" s="181" t="s">
        <v>279</v>
      </c>
      <c r="D42" s="199">
        <v>1</v>
      </c>
    </row>
    <row r="43" spans="1:4" s="73" customFormat="1" ht="15" customHeight="1">
      <c r="A43" s="87" t="s">
        <v>2873</v>
      </c>
      <c r="B43" s="88"/>
      <c r="C43" s="72" t="s">
        <v>370</v>
      </c>
      <c r="D43" s="72">
        <v>8</v>
      </c>
    </row>
    <row r="44" spans="1:4" s="73" customFormat="1" ht="36" customHeight="1">
      <c r="A44" s="108" t="s">
        <v>2874</v>
      </c>
      <c r="B44" s="88"/>
      <c r="C44" s="105" t="s">
        <v>1777</v>
      </c>
      <c r="D44" s="72">
        <v>9</v>
      </c>
    </row>
    <row r="45" spans="1:4" s="73" customFormat="1" ht="27.75" customHeight="1">
      <c r="A45" s="108" t="s">
        <v>611</v>
      </c>
      <c r="B45" s="88"/>
      <c r="C45" s="105" t="s">
        <v>617</v>
      </c>
      <c r="D45" s="72">
        <v>6</v>
      </c>
    </row>
    <row r="46" spans="1:4" s="73" customFormat="1" ht="32.25" customHeight="1">
      <c r="A46" s="402" t="s">
        <v>635</v>
      </c>
      <c r="B46" s="413"/>
      <c r="C46" s="105" t="s">
        <v>636</v>
      </c>
      <c r="D46" s="72">
        <f>4*8</f>
        <v>32</v>
      </c>
    </row>
    <row r="47" spans="1:4" s="73" customFormat="1" ht="18" customHeight="1">
      <c r="A47" s="108" t="s">
        <v>2877</v>
      </c>
      <c r="B47" s="88"/>
      <c r="C47" s="105" t="s">
        <v>553</v>
      </c>
      <c r="D47" s="72">
        <v>2.5</v>
      </c>
    </row>
    <row r="48" spans="1:4" s="73" customFormat="1" ht="18.75" customHeight="1">
      <c r="A48" s="402" t="s">
        <v>2878</v>
      </c>
      <c r="B48" s="413"/>
      <c r="C48" s="105" t="s">
        <v>447</v>
      </c>
      <c r="D48" s="72">
        <v>6</v>
      </c>
    </row>
    <row r="49" spans="1:4" s="73" customFormat="1" ht="15">
      <c r="A49" s="87" t="s">
        <v>2879</v>
      </c>
      <c r="B49" s="88"/>
      <c r="C49" s="72" t="s">
        <v>2880</v>
      </c>
      <c r="D49" s="72">
        <v>4.5</v>
      </c>
    </row>
    <row r="50" spans="1:4" s="73" customFormat="1" ht="27" customHeight="1">
      <c r="A50" s="108" t="s">
        <v>2883</v>
      </c>
      <c r="B50" s="88"/>
      <c r="C50" s="105" t="s">
        <v>709</v>
      </c>
      <c r="D50" s="72">
        <v>3</v>
      </c>
    </row>
    <row r="51" spans="1:4" s="73" customFormat="1" ht="18.75" customHeight="1">
      <c r="A51" s="402" t="s">
        <v>2884</v>
      </c>
      <c r="B51" s="413"/>
      <c r="C51" s="105" t="s">
        <v>279</v>
      </c>
      <c r="D51" s="72">
        <v>1</v>
      </c>
    </row>
    <row r="52" spans="1:4" s="73" customFormat="1" ht="15">
      <c r="A52" s="87" t="s">
        <v>2866</v>
      </c>
      <c r="B52" s="88"/>
      <c r="C52" s="72" t="s">
        <v>394</v>
      </c>
      <c r="D52" s="72">
        <v>1</v>
      </c>
    </row>
    <row r="53" spans="1:4" s="73" customFormat="1" ht="28.5" customHeight="1">
      <c r="A53" s="424" t="s">
        <v>2885</v>
      </c>
      <c r="B53" s="425"/>
      <c r="C53" s="72" t="s">
        <v>553</v>
      </c>
      <c r="D53" s="72">
        <v>4</v>
      </c>
    </row>
    <row r="54" spans="1:4" ht="15">
      <c r="A54" s="62" t="s">
        <v>405</v>
      </c>
      <c r="B54" s="63"/>
      <c r="C54" s="77" t="s">
        <v>400</v>
      </c>
      <c r="D54" s="77">
        <v>3</v>
      </c>
    </row>
    <row r="55" spans="1:4" ht="15.75" customHeight="1" thickBot="1">
      <c r="A55" s="439" t="s">
        <v>98</v>
      </c>
      <c r="B55" s="440"/>
      <c r="C55" s="77"/>
      <c r="D55" s="77"/>
    </row>
    <row r="56" spans="1:4" ht="15.75" thickBot="1">
      <c r="A56" s="377" t="s">
        <v>99</v>
      </c>
      <c r="B56" s="378"/>
      <c r="C56" s="77"/>
      <c r="D56" s="77"/>
    </row>
    <row r="57" spans="1:4" ht="15.75" thickBot="1">
      <c r="A57" s="392" t="s">
        <v>100</v>
      </c>
      <c r="B57" s="393"/>
      <c r="C57" s="77"/>
      <c r="D57" s="77"/>
    </row>
    <row r="58" spans="1:4" ht="15.75" thickBot="1">
      <c r="A58" s="377" t="s">
        <v>101</v>
      </c>
      <c r="B58" s="378"/>
      <c r="C58" s="77"/>
      <c r="D58" s="77"/>
    </row>
    <row r="59" spans="1:4" ht="15.75" thickBot="1">
      <c r="A59" s="443" t="s">
        <v>102</v>
      </c>
      <c r="B59" s="375"/>
      <c r="C59" s="77" t="s">
        <v>243</v>
      </c>
      <c r="D59" s="77"/>
    </row>
    <row r="60" spans="1:4" s="73" customFormat="1" ht="15">
      <c r="A60" s="371" t="s">
        <v>2867</v>
      </c>
      <c r="B60" s="91"/>
      <c r="C60" s="72" t="s">
        <v>243</v>
      </c>
      <c r="D60" s="72">
        <f>130.2+29.17+16+175</f>
        <v>350.37</v>
      </c>
    </row>
    <row r="61" spans="1:4" s="73" customFormat="1" ht="15">
      <c r="A61" s="371" t="s">
        <v>2806</v>
      </c>
      <c r="B61" s="91"/>
      <c r="C61" s="72" t="s">
        <v>243</v>
      </c>
      <c r="D61" s="72">
        <f>1.25*130+175</f>
        <v>337.5</v>
      </c>
    </row>
    <row r="62" spans="1:4" s="73" customFormat="1" ht="15">
      <c r="A62" s="371" t="s">
        <v>2808</v>
      </c>
      <c r="B62" s="91"/>
      <c r="C62" s="72" t="s">
        <v>243</v>
      </c>
      <c r="D62" s="72">
        <f>0.75*130+175</f>
        <v>272.5</v>
      </c>
    </row>
    <row r="63" spans="1:4" s="73" customFormat="1" ht="15">
      <c r="A63" s="371" t="s">
        <v>2868</v>
      </c>
      <c r="B63" s="91"/>
      <c r="C63" s="72" t="s">
        <v>243</v>
      </c>
      <c r="D63" s="72">
        <f>175+130*1.5</f>
        <v>370</v>
      </c>
    </row>
    <row r="64" spans="1:4" ht="15">
      <c r="A64" s="371" t="s">
        <v>2828</v>
      </c>
      <c r="B64" s="135"/>
      <c r="C64" s="199"/>
      <c r="D64" s="199">
        <v>1.5</v>
      </c>
    </row>
    <row r="65" spans="1:4" ht="15">
      <c r="A65" s="371" t="s">
        <v>2829</v>
      </c>
      <c r="B65" s="135"/>
      <c r="C65" s="199"/>
      <c r="D65" s="199">
        <v>1.5</v>
      </c>
    </row>
    <row r="66" spans="1:4" ht="15">
      <c r="A66" s="374" t="s">
        <v>2831</v>
      </c>
      <c r="B66" s="135"/>
      <c r="C66" s="199"/>
      <c r="D66" s="199">
        <v>1.25</v>
      </c>
    </row>
    <row r="67" spans="1:4" s="73" customFormat="1" ht="15">
      <c r="A67" s="371" t="s">
        <v>2872</v>
      </c>
      <c r="B67" s="91"/>
      <c r="C67" s="72" t="s">
        <v>243</v>
      </c>
      <c r="D67" s="72">
        <v>1</v>
      </c>
    </row>
    <row r="68" spans="1:4" s="73" customFormat="1" ht="15">
      <c r="A68" s="371" t="s">
        <v>2875</v>
      </c>
      <c r="B68" s="91"/>
      <c r="C68" s="72" t="s">
        <v>243</v>
      </c>
      <c r="D68" s="72">
        <v>2</v>
      </c>
    </row>
    <row r="69" spans="1:4" s="73" customFormat="1" ht="15">
      <c r="A69" s="90" t="s">
        <v>569</v>
      </c>
      <c r="B69" s="91"/>
      <c r="C69" s="72" t="s">
        <v>243</v>
      </c>
      <c r="D69" s="72">
        <v>1.5</v>
      </c>
    </row>
    <row r="70" spans="1:4" s="73" customFormat="1" ht="15">
      <c r="A70" s="90" t="s">
        <v>604</v>
      </c>
      <c r="B70" s="91"/>
      <c r="C70" s="72" t="s">
        <v>243</v>
      </c>
      <c r="D70" s="72">
        <v>2</v>
      </c>
    </row>
    <row r="71" spans="1:4" s="73" customFormat="1" ht="15">
      <c r="A71" s="90" t="s">
        <v>622</v>
      </c>
      <c r="B71" s="91"/>
      <c r="C71" s="72" t="s">
        <v>243</v>
      </c>
      <c r="D71" s="72">
        <v>1</v>
      </c>
    </row>
    <row r="72" spans="1:4" s="73" customFormat="1" ht="15">
      <c r="A72" s="90"/>
      <c r="B72" s="91"/>
      <c r="C72" s="72"/>
      <c r="D72" s="72"/>
    </row>
    <row r="73" spans="1:4" ht="15.75" thickBot="1">
      <c r="A73" s="395" t="s">
        <v>103</v>
      </c>
      <c r="B73" s="396"/>
      <c r="C73" s="77"/>
      <c r="D73" s="77"/>
    </row>
    <row r="74" spans="1:4" ht="15.75" thickBot="1">
      <c r="A74" s="397" t="s">
        <v>104</v>
      </c>
      <c r="B74" s="398"/>
      <c r="C74" s="77"/>
      <c r="D74" s="77"/>
    </row>
    <row r="75" spans="1:4" ht="15">
      <c r="A75" s="79"/>
      <c r="B75" s="79"/>
      <c r="C75" s="76"/>
      <c r="D75" s="76"/>
    </row>
    <row r="76" spans="1:4" ht="15.75">
      <c r="A76" s="394" t="s">
        <v>233</v>
      </c>
      <c r="B76" s="394"/>
      <c r="C76" s="394"/>
      <c r="D76" s="394"/>
    </row>
    <row r="77" spans="1:4" ht="15">
      <c r="A77" s="76"/>
      <c r="B77" s="76"/>
      <c r="C77" s="76"/>
      <c r="D77" s="76"/>
    </row>
    <row r="78" spans="1:4" ht="15.75">
      <c r="A78" s="394" t="s">
        <v>234</v>
      </c>
      <c r="B78" s="394"/>
      <c r="C78" s="394"/>
      <c r="D78" s="394"/>
    </row>
  </sheetData>
  <sheetProtection/>
  <mergeCells count="39">
    <mergeCell ref="A27:B27"/>
    <mergeCell ref="A42:B42"/>
    <mergeCell ref="A48:B48"/>
    <mergeCell ref="A18:B18"/>
    <mergeCell ref="A51:B51"/>
    <mergeCell ref="A41:B41"/>
    <mergeCell ref="A76:D76"/>
    <mergeCell ref="A78:D78"/>
    <mergeCell ref="A46:B46"/>
    <mergeCell ref="A55:B55"/>
    <mergeCell ref="A56:B56"/>
    <mergeCell ref="A57:B57"/>
    <mergeCell ref="A58:B58"/>
    <mergeCell ref="A59:B59"/>
    <mergeCell ref="A73:B73"/>
    <mergeCell ref="A74:B74"/>
    <mergeCell ref="A53:B53"/>
    <mergeCell ref="A21:B21"/>
    <mergeCell ref="A22:B22"/>
    <mergeCell ref="A23:B23"/>
    <mergeCell ref="A24:B24"/>
    <mergeCell ref="A25:B25"/>
    <mergeCell ref="A14:B14"/>
    <mergeCell ref="A15:B15"/>
    <mergeCell ref="A17:B17"/>
    <mergeCell ref="A19:B19"/>
    <mergeCell ref="A20:B20"/>
    <mergeCell ref="A13:B13"/>
    <mergeCell ref="A1:D1"/>
    <mergeCell ref="A2:D2"/>
    <mergeCell ref="A3:D3"/>
    <mergeCell ref="A5:B5"/>
    <mergeCell ref="A6:B6"/>
    <mergeCell ref="A7:B7"/>
    <mergeCell ref="A8:B8"/>
    <mergeCell ref="A9:B9"/>
    <mergeCell ref="A10:B10"/>
    <mergeCell ref="A11:B11"/>
    <mergeCell ref="A12:B12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E134"/>
  <sheetViews>
    <sheetView zoomScalePageLayoutView="0" workbookViewId="0" topLeftCell="A115">
      <selection activeCell="G112" sqref="G112"/>
    </sheetView>
  </sheetViews>
  <sheetFormatPr defaultColWidth="9.140625" defaultRowHeight="15"/>
  <cols>
    <col min="1" max="1" width="81.140625" style="0" customWidth="1"/>
    <col min="2" max="2" width="3.28125" style="0" hidden="1" customWidth="1"/>
    <col min="3" max="3" width="46.00390625" style="0" customWidth="1"/>
  </cols>
  <sheetData>
    <row r="1" spans="1:4" ht="15.75">
      <c r="A1" s="381" t="s">
        <v>230</v>
      </c>
      <c r="B1" s="381"/>
      <c r="C1" s="381"/>
      <c r="D1" s="381"/>
    </row>
    <row r="2" spans="1:4" ht="15.75">
      <c r="A2" s="382" t="s">
        <v>406</v>
      </c>
      <c r="B2" s="382"/>
      <c r="C2" s="382"/>
      <c r="D2" s="382"/>
    </row>
    <row r="3" spans="1:4" s="55" customFormat="1" ht="15.75">
      <c r="A3" s="382" t="s">
        <v>2890</v>
      </c>
      <c r="B3" s="382"/>
      <c r="C3" s="382"/>
      <c r="D3" s="382"/>
    </row>
    <row r="4" spans="1:4" s="55" customFormat="1" ht="15.75">
      <c r="A4" s="106"/>
      <c r="B4" s="106"/>
      <c r="C4" s="89"/>
      <c r="D4" s="89"/>
    </row>
    <row r="5" spans="1:4" ht="30">
      <c r="A5" s="383" t="s">
        <v>229</v>
      </c>
      <c r="B5" s="384"/>
      <c r="C5" s="86" t="s">
        <v>231</v>
      </c>
      <c r="D5" s="85" t="s">
        <v>530</v>
      </c>
    </row>
    <row r="6" spans="1:4" ht="15">
      <c r="A6" s="383" t="s">
        <v>229</v>
      </c>
      <c r="B6" s="384"/>
      <c r="C6" s="73"/>
      <c r="D6" s="73"/>
    </row>
    <row r="7" spans="1:4" ht="15.75" thickBot="1">
      <c r="A7" s="379" t="s">
        <v>0</v>
      </c>
      <c r="B7" s="380"/>
      <c r="C7" s="76"/>
      <c r="D7" s="76"/>
    </row>
    <row r="8" spans="1:4" ht="15.75" thickBot="1">
      <c r="A8" s="375" t="s">
        <v>29</v>
      </c>
      <c r="B8" s="376"/>
      <c r="C8" s="77"/>
      <c r="D8" s="77"/>
    </row>
    <row r="9" spans="1:4" ht="15">
      <c r="A9" s="433" t="s">
        <v>53</v>
      </c>
      <c r="B9" s="434"/>
      <c r="C9" s="77"/>
      <c r="D9" s="77"/>
    </row>
    <row r="10" spans="1:4" ht="15.75" thickBot="1">
      <c r="A10" s="449" t="s">
        <v>55</v>
      </c>
      <c r="B10" s="450"/>
      <c r="C10" s="77"/>
      <c r="D10" s="77"/>
    </row>
    <row r="11" spans="1:4" ht="15.75" thickBot="1">
      <c r="A11" s="377" t="s">
        <v>56</v>
      </c>
      <c r="B11" s="378"/>
      <c r="C11" s="77"/>
      <c r="D11" s="77"/>
    </row>
    <row r="12" spans="1:4" ht="15.75" thickBot="1">
      <c r="A12" s="375" t="s">
        <v>57</v>
      </c>
      <c r="B12" s="376"/>
      <c r="C12" s="77"/>
      <c r="D12" s="77"/>
    </row>
    <row r="13" spans="1:4" ht="15.75" thickBot="1">
      <c r="A13" s="503" t="s">
        <v>2886</v>
      </c>
      <c r="B13" s="504"/>
      <c r="C13" s="72"/>
      <c r="D13" s="72">
        <f>D15*130+175</f>
        <v>695</v>
      </c>
    </row>
    <row r="14" spans="1:4" s="73" customFormat="1" ht="15">
      <c r="A14" s="399" t="s">
        <v>2905</v>
      </c>
      <c r="B14" s="400"/>
      <c r="C14" s="72" t="s">
        <v>304</v>
      </c>
      <c r="D14" s="72">
        <v>4</v>
      </c>
    </row>
    <row r="15" spans="1:4" s="73" customFormat="1" ht="29.25" customHeight="1">
      <c r="A15" s="399" t="s">
        <v>666</v>
      </c>
      <c r="B15" s="400"/>
      <c r="C15" s="72" t="s">
        <v>328</v>
      </c>
      <c r="D15" s="72">
        <v>4</v>
      </c>
    </row>
    <row r="16" spans="1:4" s="73" customFormat="1" ht="19.5" customHeight="1">
      <c r="A16" s="399" t="s">
        <v>2933</v>
      </c>
      <c r="B16" s="400"/>
      <c r="C16" s="72" t="s">
        <v>328</v>
      </c>
      <c r="D16" s="72">
        <v>4</v>
      </c>
    </row>
    <row r="17" spans="1:4" s="73" customFormat="1" ht="19.5" customHeight="1">
      <c r="A17" s="399" t="s">
        <v>2960</v>
      </c>
      <c r="B17" s="400"/>
      <c r="C17" s="72" t="s">
        <v>955</v>
      </c>
      <c r="D17" s="72">
        <v>6</v>
      </c>
    </row>
    <row r="18" spans="1:4" ht="15" customHeight="1">
      <c r="A18" s="435" t="s">
        <v>59</v>
      </c>
      <c r="B18" s="436"/>
      <c r="C18" s="77"/>
      <c r="D18" s="77"/>
    </row>
    <row r="19" spans="1:4" ht="15">
      <c r="A19" s="436" t="s">
        <v>60</v>
      </c>
      <c r="B19" s="447"/>
      <c r="C19" s="77"/>
      <c r="D19" s="77"/>
    </row>
    <row r="20" spans="1:4" ht="15">
      <c r="A20" s="436" t="s">
        <v>61</v>
      </c>
      <c r="B20" s="447"/>
      <c r="C20" s="77"/>
      <c r="D20" s="77"/>
    </row>
    <row r="21" spans="1:4" ht="15" customHeight="1">
      <c r="A21" s="436" t="s">
        <v>62</v>
      </c>
      <c r="B21" s="447"/>
      <c r="C21" s="77"/>
      <c r="D21" s="77"/>
    </row>
    <row r="22" spans="1:4" ht="15.75" customHeight="1" thickBot="1">
      <c r="A22" s="445" t="s">
        <v>63</v>
      </c>
      <c r="B22" s="446"/>
      <c r="C22" s="77"/>
      <c r="D22" s="77"/>
    </row>
    <row r="23" spans="1:4" ht="15.75" thickBot="1">
      <c r="A23" s="387" t="s">
        <v>64</v>
      </c>
      <c r="B23" s="377"/>
      <c r="C23" s="77"/>
      <c r="D23" s="77"/>
    </row>
    <row r="24" spans="1:4" ht="15">
      <c r="A24" s="388" t="s">
        <v>66</v>
      </c>
      <c r="B24" s="389"/>
      <c r="C24" s="77"/>
      <c r="D24" s="77"/>
    </row>
    <row r="25" spans="1:4" ht="15">
      <c r="A25" s="60" t="s">
        <v>68</v>
      </c>
      <c r="B25" s="61"/>
      <c r="C25" s="77"/>
      <c r="D25" s="77"/>
    </row>
    <row r="26" spans="1:4" ht="15" customHeight="1">
      <c r="A26" s="87" t="s">
        <v>2893</v>
      </c>
      <c r="B26" s="140"/>
      <c r="C26" s="181" t="s">
        <v>309</v>
      </c>
      <c r="D26" s="199">
        <v>3</v>
      </c>
    </row>
    <row r="27" spans="1:4" s="73" customFormat="1" ht="15" customHeight="1">
      <c r="A27" s="87" t="s">
        <v>2906</v>
      </c>
      <c r="B27" s="88"/>
      <c r="C27" s="72" t="s">
        <v>2907</v>
      </c>
      <c r="D27" s="72">
        <f>4+4+4</f>
        <v>12</v>
      </c>
    </row>
    <row r="28" spans="1:4" s="73" customFormat="1" ht="15">
      <c r="A28" s="372" t="s">
        <v>2908</v>
      </c>
      <c r="B28" s="253"/>
      <c r="C28" s="72" t="s">
        <v>2909</v>
      </c>
      <c r="D28" s="72">
        <f>4+2+2+2</f>
        <v>10</v>
      </c>
    </row>
    <row r="29" spans="1:4" s="73" customFormat="1" ht="15" customHeight="1">
      <c r="A29" s="87" t="s">
        <v>2910</v>
      </c>
      <c r="B29" s="88"/>
      <c r="C29" s="72" t="s">
        <v>304</v>
      </c>
      <c r="D29" s="72">
        <v>4</v>
      </c>
    </row>
    <row r="30" spans="1:4" s="73" customFormat="1" ht="15" customHeight="1">
      <c r="A30" s="87" t="s">
        <v>2926</v>
      </c>
      <c r="B30" s="88"/>
      <c r="C30" s="72" t="s">
        <v>2927</v>
      </c>
      <c r="D30" s="72">
        <v>12</v>
      </c>
    </row>
    <row r="31" spans="1:4" s="73" customFormat="1" ht="15" customHeight="1">
      <c r="A31" s="87" t="s">
        <v>2932</v>
      </c>
      <c r="B31" s="88"/>
      <c r="C31" s="72" t="s">
        <v>305</v>
      </c>
      <c r="D31" s="72">
        <v>1</v>
      </c>
    </row>
    <row r="32" spans="1:4" s="73" customFormat="1" ht="15" customHeight="1">
      <c r="A32" s="87" t="s">
        <v>723</v>
      </c>
      <c r="B32" s="88"/>
      <c r="C32" s="72" t="s">
        <v>724</v>
      </c>
      <c r="D32" s="72">
        <v>5</v>
      </c>
    </row>
    <row r="33" spans="1:4" s="73" customFormat="1" ht="19.5" customHeight="1">
      <c r="A33" s="409" t="s">
        <v>2934</v>
      </c>
      <c r="B33" s="410"/>
      <c r="C33" s="72" t="s">
        <v>1458</v>
      </c>
      <c r="D33" s="72">
        <v>3</v>
      </c>
    </row>
    <row r="34" spans="1:4" s="73" customFormat="1" ht="15" customHeight="1">
      <c r="A34" s="87" t="s">
        <v>2935</v>
      </c>
      <c r="B34" s="88"/>
      <c r="C34" s="72" t="s">
        <v>468</v>
      </c>
      <c r="D34" s="72">
        <v>2</v>
      </c>
    </row>
    <row r="35" spans="1:4" s="73" customFormat="1" ht="15" customHeight="1">
      <c r="A35" s="87" t="s">
        <v>2936</v>
      </c>
      <c r="B35" s="88"/>
      <c r="C35" s="72" t="s">
        <v>461</v>
      </c>
      <c r="D35" s="72">
        <v>4</v>
      </c>
    </row>
    <row r="36" spans="1:4" ht="15" customHeight="1">
      <c r="A36" s="62" t="s">
        <v>72</v>
      </c>
      <c r="B36" s="63"/>
      <c r="C36" s="77"/>
      <c r="D36" s="77"/>
    </row>
    <row r="37" spans="1:4" ht="15" customHeight="1">
      <c r="A37" s="62" t="s">
        <v>74</v>
      </c>
      <c r="B37" s="63"/>
      <c r="C37" s="77"/>
      <c r="D37" s="77"/>
    </row>
    <row r="38" spans="1:4" ht="15">
      <c r="A38" s="62" t="s">
        <v>237</v>
      </c>
      <c r="B38" s="63"/>
      <c r="C38" s="77"/>
      <c r="D38" s="77"/>
    </row>
    <row r="39" spans="1:4" ht="15" customHeight="1">
      <c r="A39" s="64" t="s">
        <v>238</v>
      </c>
      <c r="B39" s="65"/>
      <c r="C39" s="77"/>
      <c r="D39" s="77"/>
    </row>
    <row r="40" spans="1:4" ht="15" customHeight="1">
      <c r="A40" s="66" t="s">
        <v>80</v>
      </c>
      <c r="B40" s="67"/>
      <c r="C40" s="77"/>
      <c r="D40" s="77"/>
    </row>
    <row r="41" spans="1:4" ht="15" customHeight="1">
      <c r="A41" s="64" t="s">
        <v>82</v>
      </c>
      <c r="B41" s="65"/>
      <c r="C41" s="77"/>
      <c r="D41" s="77"/>
    </row>
    <row r="42" spans="1:4" ht="15">
      <c r="A42" s="64" t="s">
        <v>84</v>
      </c>
      <c r="B42" s="65"/>
      <c r="C42" s="77"/>
      <c r="D42" s="77"/>
    </row>
    <row r="43" spans="1:4" ht="15" customHeight="1">
      <c r="A43" s="64" t="s">
        <v>86</v>
      </c>
      <c r="B43" s="65"/>
      <c r="C43" s="77"/>
      <c r="D43" s="77"/>
    </row>
    <row r="44" spans="1:4" ht="15" customHeight="1">
      <c r="A44" s="68" t="s">
        <v>88</v>
      </c>
      <c r="B44" s="69"/>
      <c r="C44" s="77"/>
      <c r="D44" s="77"/>
    </row>
    <row r="45" spans="1:4" ht="15">
      <c r="A45" s="390" t="s">
        <v>90</v>
      </c>
      <c r="B45" s="391"/>
      <c r="C45" s="77"/>
      <c r="D45" s="77"/>
    </row>
    <row r="46" spans="1:4" s="73" customFormat="1" ht="15">
      <c r="A46" s="372" t="s">
        <v>2891</v>
      </c>
      <c r="B46" s="253"/>
      <c r="C46" s="72" t="s">
        <v>2887</v>
      </c>
      <c r="D46" s="72">
        <f>44894.53+89676+935.69</f>
        <v>135506.22</v>
      </c>
    </row>
    <row r="47" spans="1:4" s="73" customFormat="1" ht="15">
      <c r="A47" s="371" t="s">
        <v>2888</v>
      </c>
      <c r="B47" s="91"/>
      <c r="C47" s="72"/>
      <c r="D47" s="72">
        <v>44793.72</v>
      </c>
    </row>
    <row r="48" spans="1:4" s="73" customFormat="1" ht="15">
      <c r="A48" s="372" t="s">
        <v>2892</v>
      </c>
      <c r="B48" s="253"/>
      <c r="C48" s="72" t="s">
        <v>2887</v>
      </c>
      <c r="D48" s="72">
        <f>9995+1750+4770</f>
        <v>16515</v>
      </c>
    </row>
    <row r="49" spans="1:4" ht="15">
      <c r="A49" s="409" t="s">
        <v>2894</v>
      </c>
      <c r="B49" s="410"/>
      <c r="C49" s="181" t="s">
        <v>2895</v>
      </c>
      <c r="D49" s="199">
        <f>4+4+4+4+8</f>
        <v>24</v>
      </c>
    </row>
    <row r="50" spans="1:4" ht="15" customHeight="1">
      <c r="A50" s="402" t="s">
        <v>2896</v>
      </c>
      <c r="B50" s="413"/>
      <c r="C50" s="181" t="s">
        <v>370</v>
      </c>
      <c r="D50" s="199">
        <v>3</v>
      </c>
    </row>
    <row r="51" spans="1:4" ht="15">
      <c r="A51" s="402" t="s">
        <v>2897</v>
      </c>
      <c r="B51" s="413"/>
      <c r="C51" s="181" t="s">
        <v>400</v>
      </c>
      <c r="D51" s="199">
        <v>8</v>
      </c>
    </row>
    <row r="52" spans="1:4" ht="15">
      <c r="A52" s="365" t="s">
        <v>2898</v>
      </c>
      <c r="B52" s="373"/>
      <c r="C52" s="181" t="s">
        <v>400</v>
      </c>
      <c r="D52" s="199">
        <v>8</v>
      </c>
    </row>
    <row r="53" spans="1:4" ht="15.75" customHeight="1">
      <c r="A53" s="424" t="s">
        <v>2899</v>
      </c>
      <c r="B53" s="425"/>
      <c r="C53" s="181" t="s">
        <v>2900</v>
      </c>
      <c r="D53" s="199">
        <f>1+1+1</f>
        <v>3</v>
      </c>
    </row>
    <row r="54" spans="1:4" ht="15.75" customHeight="1">
      <c r="A54" s="367" t="s">
        <v>2901</v>
      </c>
      <c r="B54" s="151"/>
      <c r="C54" s="181" t="s">
        <v>2902</v>
      </c>
      <c r="D54" s="199">
        <f>5+2+2</f>
        <v>9</v>
      </c>
    </row>
    <row r="55" spans="1:4" s="73" customFormat="1" ht="15">
      <c r="A55" s="372" t="s">
        <v>2911</v>
      </c>
      <c r="B55" s="253"/>
      <c r="C55" s="72" t="s">
        <v>2912</v>
      </c>
      <c r="D55" s="72">
        <f>4+4</f>
        <v>8</v>
      </c>
    </row>
    <row r="56" spans="1:4" s="73" customFormat="1" ht="15">
      <c r="A56" s="372" t="s">
        <v>2913</v>
      </c>
      <c r="B56" s="253"/>
      <c r="C56" s="72" t="s">
        <v>2907</v>
      </c>
      <c r="D56" s="72">
        <f>4+4+4</f>
        <v>12</v>
      </c>
    </row>
    <row r="57" spans="1:4" ht="15">
      <c r="A57" s="182" t="s">
        <v>2914</v>
      </c>
      <c r="B57" s="181"/>
      <c r="C57" s="181" t="s">
        <v>2915</v>
      </c>
      <c r="D57" s="181">
        <f>1+1+1</f>
        <v>3</v>
      </c>
    </row>
    <row r="58" spans="1:4" ht="15">
      <c r="A58" s="182" t="s">
        <v>2916</v>
      </c>
      <c r="B58" s="181"/>
      <c r="C58" s="181" t="s">
        <v>2917</v>
      </c>
      <c r="D58" s="181">
        <v>3</v>
      </c>
    </row>
    <row r="59" spans="1:4" ht="15">
      <c r="A59" s="182" t="s">
        <v>2918</v>
      </c>
      <c r="B59" s="181"/>
      <c r="C59" s="181" t="s">
        <v>2915</v>
      </c>
      <c r="D59" s="181">
        <f>2+4+4</f>
        <v>10</v>
      </c>
    </row>
    <row r="60" spans="1:4" ht="15">
      <c r="A60" s="620" t="s">
        <v>2919</v>
      </c>
      <c r="B60" s="621"/>
      <c r="C60" s="181" t="s">
        <v>2920</v>
      </c>
      <c r="D60" s="181">
        <f>2+2</f>
        <v>4</v>
      </c>
    </row>
    <row r="61" spans="1:4" ht="15">
      <c r="A61" s="409" t="s">
        <v>2921</v>
      </c>
      <c r="B61" s="410"/>
      <c r="C61" s="72" t="s">
        <v>400</v>
      </c>
      <c r="D61" s="72">
        <v>8</v>
      </c>
    </row>
    <row r="62" spans="1:5" ht="15" customHeight="1">
      <c r="A62" s="402" t="s">
        <v>2922</v>
      </c>
      <c r="B62" s="413"/>
      <c r="C62" s="72" t="s">
        <v>309</v>
      </c>
      <c r="D62" s="72">
        <f>8+4</f>
        <v>12</v>
      </c>
      <c r="E62" s="73"/>
    </row>
    <row r="63" spans="1:4" s="73" customFormat="1" ht="15">
      <c r="A63" s="402" t="s">
        <v>2923</v>
      </c>
      <c r="B63" s="413"/>
      <c r="C63" s="72" t="s">
        <v>2924</v>
      </c>
      <c r="D63" s="72">
        <v>2</v>
      </c>
    </row>
    <row r="64" spans="1:4" s="73" customFormat="1" ht="28.5" customHeight="1">
      <c r="A64" s="409" t="s">
        <v>2928</v>
      </c>
      <c r="B64" s="410"/>
      <c r="C64" s="72" t="s">
        <v>400</v>
      </c>
      <c r="D64" s="72">
        <v>1.3</v>
      </c>
    </row>
    <row r="65" spans="1:4" s="73" customFormat="1" ht="31.5" customHeight="1">
      <c r="A65" s="402" t="s">
        <v>2929</v>
      </c>
      <c r="B65" s="413"/>
      <c r="C65" s="72" t="s">
        <v>305</v>
      </c>
      <c r="D65" s="72">
        <v>4</v>
      </c>
    </row>
    <row r="66" spans="1:4" s="73" customFormat="1" ht="19.5" customHeight="1">
      <c r="A66" s="409" t="s">
        <v>651</v>
      </c>
      <c r="B66" s="410"/>
      <c r="C66" s="72" t="s">
        <v>642</v>
      </c>
      <c r="D66" s="72">
        <v>4</v>
      </c>
    </row>
    <row r="67" spans="1:4" s="73" customFormat="1" ht="19.5" customHeight="1">
      <c r="A67" s="402" t="s">
        <v>715</v>
      </c>
      <c r="B67" s="413"/>
      <c r="C67" s="72" t="s">
        <v>553</v>
      </c>
      <c r="D67" s="72">
        <v>4</v>
      </c>
    </row>
    <row r="68" spans="1:4" s="73" customFormat="1" ht="15">
      <c r="A68" s="170" t="s">
        <v>716</v>
      </c>
      <c r="B68" s="171"/>
      <c r="C68" s="72" t="s">
        <v>717</v>
      </c>
      <c r="D68" s="72">
        <v>6</v>
      </c>
    </row>
    <row r="69" spans="1:4" s="73" customFormat="1" ht="33" customHeight="1">
      <c r="A69" s="424" t="s">
        <v>739</v>
      </c>
      <c r="B69" s="425"/>
      <c r="C69" s="72" t="s">
        <v>736</v>
      </c>
      <c r="D69" s="72">
        <v>15</v>
      </c>
    </row>
    <row r="70" spans="1:4" s="73" customFormat="1" ht="19.5" customHeight="1">
      <c r="A70" s="170" t="s">
        <v>764</v>
      </c>
      <c r="B70" s="116"/>
      <c r="C70" s="72" t="s">
        <v>765</v>
      </c>
      <c r="D70" s="72">
        <v>6</v>
      </c>
    </row>
    <row r="71" spans="1:4" s="73" customFormat="1" ht="15.75" customHeight="1">
      <c r="A71" s="167" t="s">
        <v>768</v>
      </c>
      <c r="B71" s="116"/>
      <c r="C71" s="72" t="s">
        <v>342</v>
      </c>
      <c r="D71" s="72">
        <v>1</v>
      </c>
    </row>
    <row r="72" spans="1:4" s="73" customFormat="1" ht="19.5" customHeight="1">
      <c r="A72" s="409" t="s">
        <v>2937</v>
      </c>
      <c r="B72" s="410"/>
      <c r="C72" s="72" t="s">
        <v>1458</v>
      </c>
      <c r="D72" s="72">
        <v>6</v>
      </c>
    </row>
    <row r="73" spans="1:4" s="73" customFormat="1" ht="19.5" customHeight="1">
      <c r="A73" s="402" t="s">
        <v>2938</v>
      </c>
      <c r="B73" s="413"/>
      <c r="C73" s="72" t="s">
        <v>401</v>
      </c>
      <c r="D73" s="72">
        <v>2</v>
      </c>
    </row>
    <row r="74" spans="1:4" s="73" customFormat="1" ht="15">
      <c r="A74" s="365" t="s">
        <v>2939</v>
      </c>
      <c r="B74" s="366"/>
      <c r="C74" s="72" t="s">
        <v>447</v>
      </c>
      <c r="D74" s="72">
        <v>2</v>
      </c>
    </row>
    <row r="75" spans="1:4" s="73" customFormat="1" ht="18" customHeight="1">
      <c r="A75" s="424" t="s">
        <v>2940</v>
      </c>
      <c r="B75" s="425"/>
      <c r="C75" s="72" t="s">
        <v>1192</v>
      </c>
      <c r="D75" s="72">
        <v>4</v>
      </c>
    </row>
    <row r="76" spans="1:4" s="73" customFormat="1" ht="19.5" customHeight="1">
      <c r="A76" s="365" t="s">
        <v>2941</v>
      </c>
      <c r="B76" s="116"/>
      <c r="C76" s="72" t="s">
        <v>553</v>
      </c>
      <c r="D76" s="72">
        <v>4</v>
      </c>
    </row>
    <row r="77" spans="1:4" s="73" customFormat="1" ht="19.5" customHeight="1">
      <c r="A77" s="409" t="s">
        <v>2944</v>
      </c>
      <c r="B77" s="410"/>
      <c r="C77" s="72" t="s">
        <v>378</v>
      </c>
      <c r="D77" s="72">
        <v>4</v>
      </c>
    </row>
    <row r="78" spans="1:4" s="73" customFormat="1" ht="30" customHeight="1">
      <c r="A78" s="402" t="s">
        <v>2945</v>
      </c>
      <c r="B78" s="413"/>
      <c r="C78" s="72" t="s">
        <v>378</v>
      </c>
      <c r="D78" s="72">
        <v>2</v>
      </c>
    </row>
    <row r="79" spans="1:4" s="73" customFormat="1" ht="42.75">
      <c r="A79" s="365" t="s">
        <v>2946</v>
      </c>
      <c r="B79" s="366"/>
      <c r="C79" s="72" t="s">
        <v>381</v>
      </c>
      <c r="D79" s="72">
        <v>4</v>
      </c>
    </row>
    <row r="80" spans="1:4" s="73" customFormat="1" ht="31.5" customHeight="1">
      <c r="A80" s="424" t="s">
        <v>2947</v>
      </c>
      <c r="B80" s="425"/>
      <c r="C80" s="72" t="s">
        <v>358</v>
      </c>
      <c r="D80" s="72">
        <v>4</v>
      </c>
    </row>
    <row r="81" spans="1:4" s="73" customFormat="1" ht="33" customHeight="1">
      <c r="A81" s="365" t="s">
        <v>2948</v>
      </c>
      <c r="B81" s="116"/>
      <c r="C81" s="72" t="s">
        <v>982</v>
      </c>
      <c r="D81" s="72">
        <v>6</v>
      </c>
    </row>
    <row r="82" spans="1:4" s="73" customFormat="1" ht="33" customHeight="1">
      <c r="A82" s="365" t="s">
        <v>2949</v>
      </c>
      <c r="B82" s="116"/>
      <c r="C82" s="72" t="s">
        <v>1606</v>
      </c>
      <c r="D82" s="72">
        <v>3</v>
      </c>
    </row>
    <row r="83" spans="1:4" s="73" customFormat="1" ht="33" customHeight="1">
      <c r="A83" s="365" t="s">
        <v>2950</v>
      </c>
      <c r="B83" s="116"/>
      <c r="C83" s="72" t="s">
        <v>950</v>
      </c>
      <c r="D83" s="72">
        <v>6</v>
      </c>
    </row>
    <row r="84" spans="1:4" s="73" customFormat="1" ht="33" customHeight="1">
      <c r="A84" s="365" t="s">
        <v>2951</v>
      </c>
      <c r="B84" s="116"/>
      <c r="C84" s="72" t="s">
        <v>378</v>
      </c>
      <c r="D84" s="72">
        <v>6</v>
      </c>
    </row>
    <row r="85" spans="1:4" s="73" customFormat="1" ht="18.75" customHeight="1">
      <c r="A85" s="365" t="s">
        <v>2952</v>
      </c>
      <c r="B85" s="116"/>
      <c r="C85" s="72" t="s">
        <v>328</v>
      </c>
      <c r="D85" s="72">
        <v>1</v>
      </c>
    </row>
    <row r="86" spans="1:4" ht="28.5">
      <c r="A86" s="367" t="s">
        <v>2953</v>
      </c>
      <c r="C86" s="181" t="s">
        <v>1296</v>
      </c>
      <c r="D86" s="181">
        <v>2</v>
      </c>
    </row>
    <row r="87" spans="1:4" ht="28.5">
      <c r="A87" s="367" t="s">
        <v>2954</v>
      </c>
      <c r="C87" s="181" t="s">
        <v>328</v>
      </c>
      <c r="D87" s="181">
        <v>1</v>
      </c>
    </row>
    <row r="88" spans="1:4" ht="15">
      <c r="A88" s="367" t="s">
        <v>2955</v>
      </c>
      <c r="C88" s="181" t="s">
        <v>955</v>
      </c>
      <c r="D88" s="181">
        <v>6</v>
      </c>
    </row>
    <row r="89" spans="1:4" ht="15">
      <c r="A89" s="367" t="s">
        <v>2956</v>
      </c>
      <c r="C89" s="181" t="s">
        <v>433</v>
      </c>
      <c r="D89" s="181">
        <v>4</v>
      </c>
    </row>
    <row r="90" spans="1:4" ht="15">
      <c r="A90" s="212" t="s">
        <v>2957</v>
      </c>
      <c r="C90" s="622" t="s">
        <v>328</v>
      </c>
      <c r="D90" s="622">
        <v>2</v>
      </c>
    </row>
    <row r="91" spans="1:4" s="73" customFormat="1" ht="19.5" customHeight="1">
      <c r="A91" s="409" t="s">
        <v>2961</v>
      </c>
      <c r="B91" s="410"/>
      <c r="C91" s="72" t="s">
        <v>1816</v>
      </c>
      <c r="D91" s="72">
        <v>3</v>
      </c>
    </row>
    <row r="92" spans="1:4" s="73" customFormat="1" ht="40.5" customHeight="1">
      <c r="A92" s="402" t="s">
        <v>2962</v>
      </c>
      <c r="B92" s="413"/>
      <c r="C92" s="72" t="s">
        <v>1816</v>
      </c>
      <c r="D92" s="72">
        <v>5</v>
      </c>
    </row>
    <row r="93" spans="1:4" s="73" customFormat="1" ht="15">
      <c r="A93" s="365" t="s">
        <v>2963</v>
      </c>
      <c r="B93" s="366"/>
      <c r="C93" s="72" t="s">
        <v>955</v>
      </c>
      <c r="D93" s="72">
        <v>3</v>
      </c>
    </row>
    <row r="94" spans="1:4" s="73" customFormat="1" ht="31.5" customHeight="1">
      <c r="A94" s="424" t="s">
        <v>2964</v>
      </c>
      <c r="B94" s="425"/>
      <c r="C94" s="72" t="s">
        <v>394</v>
      </c>
      <c r="D94" s="72">
        <v>4</v>
      </c>
    </row>
    <row r="95" spans="1:4" s="73" customFormat="1" ht="15" customHeight="1">
      <c r="A95" s="202" t="s">
        <v>1091</v>
      </c>
      <c r="B95" s="254"/>
      <c r="C95" s="105" t="s">
        <v>1092</v>
      </c>
      <c r="D95" s="72">
        <v>1.5</v>
      </c>
    </row>
    <row r="96" spans="1:4" s="73" customFormat="1" ht="33" customHeight="1">
      <c r="A96" s="365" t="s">
        <v>2965</v>
      </c>
      <c r="B96" s="116"/>
      <c r="C96" s="72" t="s">
        <v>1162</v>
      </c>
      <c r="D96" s="72">
        <v>3</v>
      </c>
    </row>
    <row r="97" spans="1:4" s="73" customFormat="1" ht="17.25" customHeight="1">
      <c r="A97" s="365" t="s">
        <v>2966</v>
      </c>
      <c r="B97" s="116"/>
      <c r="C97" s="72" t="s">
        <v>1192</v>
      </c>
      <c r="D97" s="72">
        <v>16</v>
      </c>
    </row>
    <row r="98" spans="1:4" s="73" customFormat="1" ht="33" customHeight="1">
      <c r="A98" s="365" t="s">
        <v>2967</v>
      </c>
      <c r="B98" s="116"/>
      <c r="C98" s="72" t="s">
        <v>917</v>
      </c>
      <c r="D98" s="72">
        <v>6</v>
      </c>
    </row>
    <row r="99" spans="1:4" s="73" customFormat="1" ht="32.25" customHeight="1">
      <c r="A99" s="365" t="s">
        <v>2968</v>
      </c>
      <c r="B99" s="116"/>
      <c r="C99" s="72" t="s">
        <v>390</v>
      </c>
      <c r="D99" s="72">
        <v>1</v>
      </c>
    </row>
    <row r="100" spans="1:4" s="73" customFormat="1" ht="28.5">
      <c r="A100" s="367" t="s">
        <v>2969</v>
      </c>
      <c r="C100" s="72" t="s">
        <v>1460</v>
      </c>
      <c r="D100" s="72">
        <v>4</v>
      </c>
    </row>
    <row r="101" spans="1:4" s="73" customFormat="1" ht="28.5">
      <c r="A101" s="367" t="s">
        <v>2970</v>
      </c>
      <c r="C101" s="72" t="s">
        <v>400</v>
      </c>
      <c r="D101" s="72">
        <v>1</v>
      </c>
    </row>
    <row r="102" spans="1:4" s="73" customFormat="1" ht="15">
      <c r="A102" s="367" t="s">
        <v>2971</v>
      </c>
      <c r="C102" s="72" t="s">
        <v>400</v>
      </c>
      <c r="D102" s="72">
        <v>1</v>
      </c>
    </row>
    <row r="103" spans="1:4" s="73" customFormat="1" ht="15">
      <c r="A103" s="367" t="s">
        <v>2972</v>
      </c>
      <c r="C103" s="72" t="s">
        <v>468</v>
      </c>
      <c r="D103" s="72">
        <v>6</v>
      </c>
    </row>
    <row r="104" spans="1:4" s="73" customFormat="1" ht="15">
      <c r="A104" s="212" t="s">
        <v>2973</v>
      </c>
      <c r="C104" s="267" t="s">
        <v>737</v>
      </c>
      <c r="D104" s="267">
        <v>4</v>
      </c>
    </row>
    <row r="105" spans="1:4" s="73" customFormat="1" ht="28.5">
      <c r="A105" s="367" t="s">
        <v>2974</v>
      </c>
      <c r="C105" s="72" t="s">
        <v>678</v>
      </c>
      <c r="D105" s="72">
        <v>4</v>
      </c>
    </row>
    <row r="106" spans="1:4" s="73" customFormat="1" ht="28.5">
      <c r="A106" s="367" t="s">
        <v>2975</v>
      </c>
      <c r="C106" s="72" t="s">
        <v>577</v>
      </c>
      <c r="D106" s="72">
        <v>2</v>
      </c>
    </row>
    <row r="107" spans="1:4" s="73" customFormat="1" ht="15">
      <c r="A107" s="367" t="s">
        <v>2976</v>
      </c>
      <c r="C107" s="72" t="s">
        <v>1162</v>
      </c>
      <c r="D107" s="72">
        <v>2</v>
      </c>
    </row>
    <row r="108" spans="1:4" s="73" customFormat="1" ht="15.75" thickBot="1">
      <c r="A108" s="367" t="s">
        <v>2977</v>
      </c>
      <c r="C108" s="72" t="s">
        <v>2978</v>
      </c>
      <c r="D108" s="72">
        <v>3</v>
      </c>
    </row>
    <row r="109" spans="1:4" ht="15.75" thickBot="1">
      <c r="A109" s="452" t="s">
        <v>99</v>
      </c>
      <c r="B109" s="378"/>
      <c r="C109" s="77"/>
      <c r="D109" s="77"/>
    </row>
    <row r="110" spans="1:4" ht="59.25" customHeight="1" thickBot="1">
      <c r="A110" s="392" t="s">
        <v>100</v>
      </c>
      <c r="B110" s="393"/>
      <c r="C110" s="82" t="s">
        <v>411</v>
      </c>
      <c r="D110" s="83" t="s">
        <v>412</v>
      </c>
    </row>
    <row r="111" spans="1:4" ht="15.75" thickBot="1">
      <c r="A111" s="377" t="s">
        <v>101</v>
      </c>
      <c r="B111" s="378"/>
      <c r="C111" s="77"/>
      <c r="D111" s="77"/>
    </row>
    <row r="112" spans="1:4" ht="15.75" thickBot="1">
      <c r="A112" s="443" t="s">
        <v>102</v>
      </c>
      <c r="B112" s="375"/>
      <c r="C112" s="77" t="s">
        <v>235</v>
      </c>
      <c r="D112" s="77"/>
    </row>
    <row r="113" spans="1:4" ht="15">
      <c r="A113" s="371" t="s">
        <v>2889</v>
      </c>
      <c r="B113" s="91"/>
      <c r="C113" s="72" t="s">
        <v>243</v>
      </c>
      <c r="D113" s="72">
        <f>1.5*130+175</f>
        <v>370</v>
      </c>
    </row>
    <row r="114" spans="1:4" ht="15">
      <c r="A114" s="371" t="s">
        <v>2903</v>
      </c>
      <c r="B114" s="91"/>
      <c r="C114" s="199"/>
      <c r="D114" s="199">
        <v>6</v>
      </c>
    </row>
    <row r="115" spans="1:4" ht="15">
      <c r="A115" s="371" t="s">
        <v>2904</v>
      </c>
      <c r="B115" s="91"/>
      <c r="C115" s="199"/>
      <c r="D115" s="199">
        <v>5</v>
      </c>
    </row>
    <row r="116" spans="1:4" ht="15">
      <c r="A116" s="371" t="s">
        <v>239</v>
      </c>
      <c r="B116" s="91"/>
      <c r="C116" s="199"/>
      <c r="D116" s="199">
        <v>5</v>
      </c>
    </row>
    <row r="117" spans="1:4" s="73" customFormat="1" ht="15">
      <c r="A117" s="371" t="s">
        <v>2925</v>
      </c>
      <c r="B117" s="91"/>
      <c r="C117" s="72" t="s">
        <v>235</v>
      </c>
      <c r="D117" s="72">
        <v>2</v>
      </c>
    </row>
    <row r="118" spans="1:4" s="73" customFormat="1" ht="15">
      <c r="A118" s="371" t="s">
        <v>2930</v>
      </c>
      <c r="B118" s="91"/>
      <c r="C118" s="72" t="s">
        <v>235</v>
      </c>
      <c r="D118" s="72">
        <v>2.6</v>
      </c>
    </row>
    <row r="119" spans="1:4" s="73" customFormat="1" ht="15">
      <c r="A119" s="371" t="s">
        <v>2931</v>
      </c>
      <c r="B119" s="91"/>
      <c r="C119" s="72" t="s">
        <v>235</v>
      </c>
      <c r="D119" s="72">
        <v>0.5</v>
      </c>
    </row>
    <row r="120" spans="1:4" s="73" customFormat="1" ht="15">
      <c r="A120" s="90" t="s">
        <v>660</v>
      </c>
      <c r="B120" s="91"/>
      <c r="C120" s="72" t="s">
        <v>243</v>
      </c>
      <c r="D120" s="72">
        <v>2</v>
      </c>
    </row>
    <row r="121" spans="1:4" s="73" customFormat="1" ht="15">
      <c r="A121" s="90" t="s">
        <v>783</v>
      </c>
      <c r="B121" s="91"/>
      <c r="C121" s="72" t="s">
        <v>243</v>
      </c>
      <c r="D121" s="72">
        <v>3</v>
      </c>
    </row>
    <row r="122" spans="1:4" s="73" customFormat="1" ht="15">
      <c r="A122" s="371" t="s">
        <v>2942</v>
      </c>
      <c r="B122" s="91"/>
      <c r="C122" s="72" t="s">
        <v>243</v>
      </c>
      <c r="D122" s="72">
        <v>2</v>
      </c>
    </row>
    <row r="123" spans="1:4" s="73" customFormat="1" ht="15">
      <c r="A123" s="371" t="s">
        <v>2943</v>
      </c>
      <c r="B123" s="91"/>
      <c r="C123" s="72" t="s">
        <v>243</v>
      </c>
      <c r="D123" s="72">
        <v>4</v>
      </c>
    </row>
    <row r="124" spans="1:4" s="73" customFormat="1" ht="28.5">
      <c r="A124" s="371" t="s">
        <v>2958</v>
      </c>
      <c r="B124" s="91"/>
      <c r="C124" s="72" t="s">
        <v>243</v>
      </c>
      <c r="D124" s="72">
        <v>2</v>
      </c>
    </row>
    <row r="125" spans="1:4" s="73" customFormat="1" ht="15">
      <c r="A125" s="371" t="s">
        <v>2959</v>
      </c>
      <c r="B125" s="91"/>
      <c r="C125" s="72" t="s">
        <v>243</v>
      </c>
      <c r="D125" s="72">
        <v>2</v>
      </c>
    </row>
    <row r="126" spans="1:4" s="73" customFormat="1" ht="28.5">
      <c r="A126" s="371" t="s">
        <v>2979</v>
      </c>
      <c r="B126" s="91"/>
      <c r="C126" s="72" t="s">
        <v>243</v>
      </c>
      <c r="D126" s="72">
        <v>2</v>
      </c>
    </row>
    <row r="127" spans="1:4" s="73" customFormat="1" ht="15">
      <c r="A127" s="371" t="s">
        <v>2980</v>
      </c>
      <c r="B127" s="91"/>
      <c r="C127" s="72" t="s">
        <v>243</v>
      </c>
      <c r="D127" s="72">
        <v>1</v>
      </c>
    </row>
    <row r="128" spans="1:4" ht="15">
      <c r="A128" s="95" t="s">
        <v>239</v>
      </c>
      <c r="B128" s="70"/>
      <c r="C128" s="77"/>
      <c r="D128" s="77">
        <v>5</v>
      </c>
    </row>
    <row r="129" spans="1:4" ht="15.75" thickBot="1">
      <c r="A129" s="395" t="s">
        <v>103</v>
      </c>
      <c r="B129" s="396"/>
      <c r="C129" s="77"/>
      <c r="D129" s="77"/>
    </row>
    <row r="130" spans="1:4" ht="15.75" thickBot="1">
      <c r="A130" s="397" t="s">
        <v>104</v>
      </c>
      <c r="B130" s="398"/>
      <c r="C130" s="77"/>
      <c r="D130" s="77"/>
    </row>
    <row r="131" spans="1:4" ht="15">
      <c r="A131" s="79"/>
      <c r="B131" s="79"/>
      <c r="C131" s="76"/>
      <c r="D131" s="76"/>
    </row>
    <row r="132" spans="1:4" ht="15">
      <c r="A132" s="552" t="s">
        <v>233</v>
      </c>
      <c r="B132" s="552"/>
      <c r="C132" s="552"/>
      <c r="D132" s="552"/>
    </row>
    <row r="133" spans="1:4" ht="15">
      <c r="A133" s="76"/>
      <c r="B133" s="76"/>
      <c r="C133" s="76"/>
      <c r="D133" s="76"/>
    </row>
    <row r="134" spans="1:4" ht="15">
      <c r="A134" s="552" t="s">
        <v>234</v>
      </c>
      <c r="B134" s="552"/>
      <c r="C134" s="552"/>
      <c r="D134" s="552"/>
    </row>
  </sheetData>
  <sheetProtection/>
  <mergeCells count="54">
    <mergeCell ref="A80:B80"/>
    <mergeCell ref="A91:B91"/>
    <mergeCell ref="A92:B92"/>
    <mergeCell ref="A94:B94"/>
    <mergeCell ref="A62:B62"/>
    <mergeCell ref="A63:B63"/>
    <mergeCell ref="A64:B64"/>
    <mergeCell ref="A65:B65"/>
    <mergeCell ref="A33:B33"/>
    <mergeCell ref="A49:B49"/>
    <mergeCell ref="A50:B50"/>
    <mergeCell ref="A51:B51"/>
    <mergeCell ref="A53:B53"/>
    <mergeCell ref="A61:B61"/>
    <mergeCell ref="A132:D132"/>
    <mergeCell ref="A134:D134"/>
    <mergeCell ref="A66:B66"/>
    <mergeCell ref="A112:B112"/>
    <mergeCell ref="A129:B129"/>
    <mergeCell ref="A130:B130"/>
    <mergeCell ref="A67:B67"/>
    <mergeCell ref="A69:B69"/>
    <mergeCell ref="A109:B109"/>
    <mergeCell ref="A110:B110"/>
    <mergeCell ref="A111:B111"/>
    <mergeCell ref="A72:B72"/>
    <mergeCell ref="A73:B73"/>
    <mergeCell ref="A75:B75"/>
    <mergeCell ref="A77:B77"/>
    <mergeCell ref="A78:B78"/>
    <mergeCell ref="A21:B21"/>
    <mergeCell ref="A22:B22"/>
    <mergeCell ref="A23:B23"/>
    <mergeCell ref="A24:B24"/>
    <mergeCell ref="A45:B45"/>
    <mergeCell ref="A20:B20"/>
    <mergeCell ref="A16:B16"/>
    <mergeCell ref="A17:B17"/>
    <mergeCell ref="A9:B9"/>
    <mergeCell ref="A10:B10"/>
    <mergeCell ref="A11:B11"/>
    <mergeCell ref="A12:B12"/>
    <mergeCell ref="A15:B15"/>
    <mergeCell ref="A18:B18"/>
    <mergeCell ref="A19:B19"/>
    <mergeCell ref="A13:B13"/>
    <mergeCell ref="A8:B8"/>
    <mergeCell ref="A14:B14"/>
    <mergeCell ref="A7:B7"/>
    <mergeCell ref="A1:D1"/>
    <mergeCell ref="A2:D2"/>
    <mergeCell ref="A3:D3"/>
    <mergeCell ref="A5:B5"/>
    <mergeCell ref="A6:B6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D130"/>
  <sheetViews>
    <sheetView zoomScalePageLayoutView="0" workbookViewId="0" topLeftCell="A40">
      <selection activeCell="C137" sqref="C137"/>
    </sheetView>
  </sheetViews>
  <sheetFormatPr defaultColWidth="9.140625" defaultRowHeight="15"/>
  <cols>
    <col min="3" max="3" width="99.7109375" style="0" customWidth="1"/>
    <col min="4" max="4" width="14.57421875" style="0" customWidth="1"/>
  </cols>
  <sheetData>
    <row r="1" spans="1:4" ht="18">
      <c r="A1" s="612" t="s">
        <v>220</v>
      </c>
      <c r="B1" s="612"/>
      <c r="C1" s="612"/>
      <c r="D1" s="612"/>
    </row>
    <row r="2" spans="1:4" ht="18">
      <c r="A2" s="611" t="s">
        <v>219</v>
      </c>
      <c r="B2" s="611"/>
      <c r="C2" s="611"/>
      <c r="D2" s="611"/>
    </row>
    <row r="3" spans="1:4" ht="18">
      <c r="A3" s="613" t="s">
        <v>218</v>
      </c>
      <c r="B3" s="613"/>
      <c r="C3" s="613"/>
      <c r="D3" s="613"/>
    </row>
    <row r="4" spans="1:4" s="55" customFormat="1" ht="18">
      <c r="A4" s="54"/>
      <c r="B4" s="54"/>
      <c r="C4" s="54"/>
      <c r="D4" s="54"/>
    </row>
    <row r="5" spans="1:4" s="55" customFormat="1" ht="18">
      <c r="A5" s="54"/>
      <c r="B5" s="54"/>
      <c r="C5" s="54"/>
      <c r="D5" s="54"/>
    </row>
    <row r="6" spans="1:4" ht="45">
      <c r="A6" s="58"/>
      <c r="B6" s="614" t="s">
        <v>229</v>
      </c>
      <c r="C6" s="615"/>
      <c r="D6" s="59" t="s">
        <v>228</v>
      </c>
    </row>
    <row r="7" spans="1:4" ht="16.5" thickBot="1">
      <c r="A7" s="56">
        <v>1</v>
      </c>
      <c r="B7" s="557" t="s">
        <v>0</v>
      </c>
      <c r="C7" s="558"/>
      <c r="D7" s="57"/>
    </row>
    <row r="8" spans="1:4" ht="15">
      <c r="A8" s="5" t="s">
        <v>1</v>
      </c>
      <c r="B8" s="559" t="s">
        <v>2</v>
      </c>
      <c r="C8" s="560"/>
      <c r="D8" s="6"/>
    </row>
    <row r="9" spans="1:4" ht="15">
      <c r="A9" s="7" t="s">
        <v>3</v>
      </c>
      <c r="B9" s="555" t="s">
        <v>4</v>
      </c>
      <c r="C9" s="556"/>
      <c r="D9" s="8"/>
    </row>
    <row r="10" spans="1:4" ht="15">
      <c r="A10" s="7" t="s">
        <v>5</v>
      </c>
      <c r="B10" s="555" t="s">
        <v>6</v>
      </c>
      <c r="C10" s="556"/>
      <c r="D10" s="8"/>
    </row>
    <row r="11" spans="1:4" ht="15">
      <c r="A11" s="7" t="s">
        <v>7</v>
      </c>
      <c r="B11" s="555" t="s">
        <v>8</v>
      </c>
      <c r="C11" s="556"/>
      <c r="D11" s="8"/>
    </row>
    <row r="12" spans="1:4" ht="15">
      <c r="A12" s="7" t="s">
        <v>9</v>
      </c>
      <c r="B12" s="555" t="s">
        <v>10</v>
      </c>
      <c r="C12" s="556"/>
      <c r="D12" s="8"/>
    </row>
    <row r="13" spans="1:4" ht="15">
      <c r="A13" s="7" t="s">
        <v>11</v>
      </c>
      <c r="B13" s="555" t="s">
        <v>12</v>
      </c>
      <c r="C13" s="556"/>
      <c r="D13" s="8"/>
    </row>
    <row r="14" spans="1:4" ht="15">
      <c r="A14" s="7" t="s">
        <v>13</v>
      </c>
      <c r="B14" s="555" t="s">
        <v>14</v>
      </c>
      <c r="C14" s="556"/>
      <c r="D14" s="8"/>
    </row>
    <row r="15" spans="1:4" ht="15">
      <c r="A15" s="7" t="s">
        <v>15</v>
      </c>
      <c r="B15" s="555" t="s">
        <v>16</v>
      </c>
      <c r="C15" s="556"/>
      <c r="D15" s="8"/>
    </row>
    <row r="16" spans="1:4" ht="15">
      <c r="A16" s="7" t="s">
        <v>17</v>
      </c>
      <c r="B16" s="555" t="s">
        <v>18</v>
      </c>
      <c r="C16" s="556"/>
      <c r="D16" s="8"/>
    </row>
    <row r="17" spans="1:4" ht="15">
      <c r="A17" s="7" t="s">
        <v>19</v>
      </c>
      <c r="B17" s="555" t="s">
        <v>20</v>
      </c>
      <c r="C17" s="556"/>
      <c r="D17" s="8"/>
    </row>
    <row r="18" spans="1:4" ht="15">
      <c r="A18" s="7" t="s">
        <v>21</v>
      </c>
      <c r="B18" s="555" t="s">
        <v>22</v>
      </c>
      <c r="C18" s="556"/>
      <c r="D18" s="8"/>
    </row>
    <row r="19" spans="1:4" ht="15">
      <c r="A19" s="7" t="s">
        <v>23</v>
      </c>
      <c r="B19" s="561" t="s">
        <v>24</v>
      </c>
      <c r="C19" s="561"/>
      <c r="D19" s="8"/>
    </row>
    <row r="20" spans="1:4" ht="15">
      <c r="A20" s="7" t="s">
        <v>25</v>
      </c>
      <c r="B20" s="561" t="s">
        <v>26</v>
      </c>
      <c r="C20" s="561"/>
      <c r="D20" s="8"/>
    </row>
    <row r="21" spans="1:4" ht="15.75" thickBot="1">
      <c r="A21" s="9" t="s">
        <v>27</v>
      </c>
      <c r="B21" s="562" t="s">
        <v>28</v>
      </c>
      <c r="C21" s="562"/>
      <c r="D21" s="10"/>
    </row>
    <row r="22" spans="1:4" ht="16.5" thickBot="1">
      <c r="A22" s="3">
        <v>2</v>
      </c>
      <c r="B22" s="563" t="s">
        <v>29</v>
      </c>
      <c r="C22" s="564"/>
      <c r="D22" s="4"/>
    </row>
    <row r="23" spans="1:4" ht="15">
      <c r="A23" s="5" t="s">
        <v>30</v>
      </c>
      <c r="B23" s="559" t="s">
        <v>31</v>
      </c>
      <c r="C23" s="560"/>
      <c r="D23" s="11"/>
    </row>
    <row r="24" spans="1:4" ht="15">
      <c r="A24" s="7" t="s">
        <v>32</v>
      </c>
      <c r="B24" s="555" t="s">
        <v>33</v>
      </c>
      <c r="C24" s="556"/>
      <c r="D24" s="12"/>
    </row>
    <row r="25" spans="1:4" ht="15">
      <c r="A25" s="7" t="s">
        <v>34</v>
      </c>
      <c r="B25" s="555" t="s">
        <v>35</v>
      </c>
      <c r="C25" s="556"/>
      <c r="D25" s="12"/>
    </row>
    <row r="26" spans="1:4" ht="15">
      <c r="A26" s="7" t="s">
        <v>36</v>
      </c>
      <c r="B26" s="555" t="s">
        <v>37</v>
      </c>
      <c r="C26" s="556"/>
      <c r="D26" s="12"/>
    </row>
    <row r="27" spans="1:4" ht="15">
      <c r="A27" s="7" t="s">
        <v>38</v>
      </c>
      <c r="B27" s="555" t="s">
        <v>39</v>
      </c>
      <c r="C27" s="556"/>
      <c r="D27" s="12"/>
    </row>
    <row r="28" spans="1:4" ht="15">
      <c r="A28" s="7" t="s">
        <v>40</v>
      </c>
      <c r="B28" s="555" t="s">
        <v>41</v>
      </c>
      <c r="C28" s="556"/>
      <c r="D28" s="8"/>
    </row>
    <row r="29" spans="1:4" ht="15">
      <c r="A29" s="7" t="s">
        <v>42</v>
      </c>
      <c r="B29" s="555" t="s">
        <v>43</v>
      </c>
      <c r="C29" s="556"/>
      <c r="D29" s="12"/>
    </row>
    <row r="30" spans="1:4" ht="15">
      <c r="A30" s="7" t="s">
        <v>44</v>
      </c>
      <c r="B30" s="555" t="s">
        <v>45</v>
      </c>
      <c r="C30" s="556"/>
      <c r="D30" s="12"/>
    </row>
    <row r="31" spans="1:4" ht="15">
      <c r="A31" s="7" t="s">
        <v>46</v>
      </c>
      <c r="B31" s="555" t="s">
        <v>47</v>
      </c>
      <c r="C31" s="556"/>
      <c r="D31" s="8"/>
    </row>
    <row r="32" spans="1:4" ht="15">
      <c r="A32" s="7" t="s">
        <v>48</v>
      </c>
      <c r="B32" s="555" t="s">
        <v>49</v>
      </c>
      <c r="C32" s="556"/>
      <c r="D32" s="12"/>
    </row>
    <row r="33" spans="1:4" ht="15">
      <c r="A33" s="7" t="s">
        <v>50</v>
      </c>
      <c r="B33" s="555" t="s">
        <v>51</v>
      </c>
      <c r="C33" s="556"/>
      <c r="D33" s="12"/>
    </row>
    <row r="34" spans="1:4" ht="15">
      <c r="A34" s="7" t="s">
        <v>52</v>
      </c>
      <c r="B34" s="555" t="s">
        <v>53</v>
      </c>
      <c r="C34" s="556"/>
      <c r="D34" s="12"/>
    </row>
    <row r="35" spans="1:4" ht="15.75" thickBot="1">
      <c r="A35" s="13" t="s">
        <v>54</v>
      </c>
      <c r="B35" s="568" t="s">
        <v>55</v>
      </c>
      <c r="C35" s="569"/>
      <c r="D35" s="14"/>
    </row>
    <row r="36" spans="1:4" ht="16.5" thickBot="1">
      <c r="A36" s="3">
        <v>3</v>
      </c>
      <c r="B36" s="570" t="s">
        <v>56</v>
      </c>
      <c r="C36" s="571"/>
      <c r="D36" s="4"/>
    </row>
    <row r="37" spans="1:4" ht="16.5" thickBot="1">
      <c r="A37" s="3" t="s">
        <v>221</v>
      </c>
      <c r="B37" s="563" t="s">
        <v>57</v>
      </c>
      <c r="C37" s="567"/>
      <c r="D37" s="4"/>
    </row>
    <row r="38" spans="1:4" ht="15">
      <c r="A38" s="7" t="s">
        <v>222</v>
      </c>
      <c r="B38" s="561" t="s">
        <v>58</v>
      </c>
      <c r="C38" s="561"/>
      <c r="D38" s="8"/>
    </row>
    <row r="39" spans="1:4" ht="15" customHeight="1">
      <c r="A39" s="7" t="s">
        <v>223</v>
      </c>
      <c r="B39" s="561" t="s">
        <v>59</v>
      </c>
      <c r="C39" s="561"/>
      <c r="D39" s="8"/>
    </row>
    <row r="40" spans="1:4" ht="15">
      <c r="A40" s="7" t="s">
        <v>224</v>
      </c>
      <c r="B40" s="565" t="s">
        <v>60</v>
      </c>
      <c r="C40" s="566"/>
      <c r="D40" s="8"/>
    </row>
    <row r="41" spans="1:4" ht="15">
      <c r="A41" s="7" t="s">
        <v>225</v>
      </c>
      <c r="B41" s="565" t="s">
        <v>61</v>
      </c>
      <c r="C41" s="566"/>
      <c r="D41" s="8"/>
    </row>
    <row r="42" spans="1:4" ht="15" customHeight="1">
      <c r="A42" s="7" t="s">
        <v>226</v>
      </c>
      <c r="B42" s="565" t="s">
        <v>62</v>
      </c>
      <c r="C42" s="566"/>
      <c r="D42" s="8"/>
    </row>
    <row r="43" spans="1:4" ht="15.75" customHeight="1" thickBot="1">
      <c r="A43" s="9" t="s">
        <v>227</v>
      </c>
      <c r="B43" s="580" t="s">
        <v>63</v>
      </c>
      <c r="C43" s="581"/>
      <c r="D43" s="10"/>
    </row>
    <row r="44" spans="1:4" ht="16.5" thickBot="1">
      <c r="A44" s="3">
        <v>6</v>
      </c>
      <c r="B44" s="578" t="s">
        <v>64</v>
      </c>
      <c r="C44" s="578"/>
      <c r="D44" s="4"/>
    </row>
    <row r="45" spans="1:4" ht="15">
      <c r="A45" s="15" t="s">
        <v>65</v>
      </c>
      <c r="B45" s="579" t="s">
        <v>66</v>
      </c>
      <c r="C45" s="579"/>
      <c r="D45" s="16"/>
    </row>
    <row r="46" spans="1:4" ht="15">
      <c r="A46" s="7" t="s">
        <v>67</v>
      </c>
      <c r="B46" s="17" t="s">
        <v>68</v>
      </c>
      <c r="C46" s="17"/>
      <c r="D46" s="8"/>
    </row>
    <row r="47" spans="1:4" ht="15" customHeight="1">
      <c r="A47" s="7" t="s">
        <v>69</v>
      </c>
      <c r="B47" s="18" t="s">
        <v>70</v>
      </c>
      <c r="C47" s="18"/>
      <c r="D47" s="8"/>
    </row>
    <row r="48" spans="1:4" ht="15" customHeight="1">
      <c r="A48" s="7" t="s">
        <v>71</v>
      </c>
      <c r="B48" s="18" t="s">
        <v>72</v>
      </c>
      <c r="C48" s="18"/>
      <c r="D48" s="8"/>
    </row>
    <row r="49" spans="1:4" ht="15" customHeight="1">
      <c r="A49" s="7" t="s">
        <v>73</v>
      </c>
      <c r="B49" s="18" t="s">
        <v>74</v>
      </c>
      <c r="C49" s="18"/>
      <c r="D49" s="8"/>
    </row>
    <row r="50" spans="1:4" ht="15">
      <c r="A50" s="7" t="s">
        <v>75</v>
      </c>
      <c r="B50" s="18" t="s">
        <v>76</v>
      </c>
      <c r="C50" s="18"/>
      <c r="D50" s="8"/>
    </row>
    <row r="51" spans="1:4" ht="15" customHeight="1">
      <c r="A51" s="7" t="s">
        <v>77</v>
      </c>
      <c r="B51" s="19" t="s">
        <v>78</v>
      </c>
      <c r="C51" s="19"/>
      <c r="D51" s="8"/>
    </row>
    <row r="52" spans="1:4" ht="15" customHeight="1">
      <c r="A52" s="7" t="s">
        <v>79</v>
      </c>
      <c r="B52" s="20" t="s">
        <v>80</v>
      </c>
      <c r="C52" s="20"/>
      <c r="D52" s="8"/>
    </row>
    <row r="53" spans="1:4" ht="15" customHeight="1">
      <c r="A53" s="7" t="s">
        <v>81</v>
      </c>
      <c r="B53" s="19" t="s">
        <v>82</v>
      </c>
      <c r="C53" s="19"/>
      <c r="D53" s="8"/>
    </row>
    <row r="54" spans="1:4" ht="15">
      <c r="A54" s="7" t="s">
        <v>83</v>
      </c>
      <c r="B54" s="19" t="s">
        <v>84</v>
      </c>
      <c r="C54" s="19"/>
      <c r="D54" s="8"/>
    </row>
    <row r="55" spans="1:4" ht="15" customHeight="1">
      <c r="A55" s="7" t="s">
        <v>85</v>
      </c>
      <c r="B55" s="19" t="s">
        <v>86</v>
      </c>
      <c r="C55" s="19"/>
      <c r="D55" s="8"/>
    </row>
    <row r="56" spans="1:4" ht="15" customHeight="1">
      <c r="A56" s="7" t="s">
        <v>87</v>
      </c>
      <c r="B56" s="21" t="s">
        <v>88</v>
      </c>
      <c r="C56" s="21"/>
      <c r="D56" s="8"/>
    </row>
    <row r="57" spans="1:4" ht="15">
      <c r="A57" s="22" t="s">
        <v>89</v>
      </c>
      <c r="B57" s="576" t="s">
        <v>90</v>
      </c>
      <c r="C57" s="576"/>
      <c r="D57" s="23"/>
    </row>
    <row r="58" spans="1:4" ht="15" customHeight="1">
      <c r="A58" s="7" t="s">
        <v>91</v>
      </c>
      <c r="B58" s="577" t="s">
        <v>92</v>
      </c>
      <c r="C58" s="577"/>
      <c r="D58" s="8"/>
    </row>
    <row r="59" spans="1:4" ht="15" customHeight="1">
      <c r="A59" s="7" t="s">
        <v>93</v>
      </c>
      <c r="B59" s="572" t="s">
        <v>94</v>
      </c>
      <c r="C59" s="573"/>
      <c r="D59" s="8"/>
    </row>
    <row r="60" spans="1:4" ht="15">
      <c r="A60" s="7" t="s">
        <v>95</v>
      </c>
      <c r="B60" s="572" t="s">
        <v>96</v>
      </c>
      <c r="C60" s="573"/>
      <c r="D60" s="8"/>
    </row>
    <row r="61" spans="1:4" ht="15.75" customHeight="1" thickBot="1">
      <c r="A61" s="9" t="s">
        <v>97</v>
      </c>
      <c r="B61" s="574" t="s">
        <v>98</v>
      </c>
      <c r="C61" s="575"/>
      <c r="D61" s="10"/>
    </row>
    <row r="62" spans="1:4" ht="16.5" thickBot="1">
      <c r="A62" s="3">
        <v>7</v>
      </c>
      <c r="B62" s="570" t="s">
        <v>99</v>
      </c>
      <c r="C62" s="571"/>
      <c r="D62" s="4"/>
    </row>
    <row r="63" spans="1:4" ht="16.5" thickBot="1">
      <c r="A63" s="24">
        <v>8</v>
      </c>
      <c r="B63" s="596" t="s">
        <v>100</v>
      </c>
      <c r="C63" s="597"/>
      <c r="D63" s="25"/>
    </row>
    <row r="64" spans="1:4" ht="16.5" thickBot="1">
      <c r="A64" s="3">
        <v>9</v>
      </c>
      <c r="B64" s="570" t="s">
        <v>101</v>
      </c>
      <c r="C64" s="571"/>
      <c r="D64" s="4"/>
    </row>
    <row r="65" spans="1:4" ht="16.5" thickBot="1">
      <c r="A65" s="3">
        <v>10</v>
      </c>
      <c r="B65" s="598" t="s">
        <v>102</v>
      </c>
      <c r="C65" s="598"/>
      <c r="D65" s="4"/>
    </row>
    <row r="66" spans="1:4" ht="16.5" thickBot="1">
      <c r="A66" s="24">
        <v>11</v>
      </c>
      <c r="B66" s="587" t="s">
        <v>103</v>
      </c>
      <c r="C66" s="588"/>
      <c r="D66" s="26"/>
    </row>
    <row r="67" spans="1:4" ht="21" thickBot="1">
      <c r="A67" s="27"/>
      <c r="B67" s="589" t="s">
        <v>104</v>
      </c>
      <c r="C67" s="590"/>
      <c r="D67" s="28"/>
    </row>
    <row r="68" spans="1:4" ht="18.75" thickBot="1">
      <c r="A68" s="29"/>
      <c r="B68" s="591" t="s">
        <v>105</v>
      </c>
      <c r="C68" s="592"/>
      <c r="D68" s="30"/>
    </row>
    <row r="69" spans="1:4" ht="15">
      <c r="A69" s="31">
        <v>12</v>
      </c>
      <c r="B69" s="593" t="s">
        <v>106</v>
      </c>
      <c r="C69" s="593"/>
      <c r="D69" s="32"/>
    </row>
    <row r="70" spans="1:4" ht="15">
      <c r="A70" s="33" t="s">
        <v>107</v>
      </c>
      <c r="B70" s="594" t="s">
        <v>108</v>
      </c>
      <c r="C70" s="595"/>
      <c r="D70" s="23"/>
    </row>
    <row r="71" spans="1:4" ht="15" customHeight="1">
      <c r="A71" s="34" t="s">
        <v>109</v>
      </c>
      <c r="B71" s="582" t="s">
        <v>110</v>
      </c>
      <c r="C71" s="583"/>
      <c r="D71" s="8"/>
    </row>
    <row r="72" spans="1:4" ht="15">
      <c r="A72" s="35">
        <v>13</v>
      </c>
      <c r="B72" s="584" t="s">
        <v>111</v>
      </c>
      <c r="C72" s="585"/>
      <c r="D72" s="36"/>
    </row>
    <row r="73" spans="1:4" ht="15">
      <c r="A73" s="33" t="s">
        <v>112</v>
      </c>
      <c r="B73" s="586" t="s">
        <v>113</v>
      </c>
      <c r="C73" s="586"/>
      <c r="D73" s="23"/>
    </row>
    <row r="74" spans="1:4" ht="15">
      <c r="A74" s="37" t="s">
        <v>114</v>
      </c>
      <c r="B74" s="601" t="s">
        <v>115</v>
      </c>
      <c r="C74" s="602"/>
      <c r="D74" s="8"/>
    </row>
    <row r="75" spans="1:4" ht="15">
      <c r="A75" s="37" t="s">
        <v>116</v>
      </c>
      <c r="B75" s="601" t="s">
        <v>117</v>
      </c>
      <c r="C75" s="602"/>
      <c r="D75" s="8"/>
    </row>
    <row r="76" spans="1:4" ht="15" customHeight="1">
      <c r="A76" s="37" t="s">
        <v>118</v>
      </c>
      <c r="B76" s="601" t="s">
        <v>119</v>
      </c>
      <c r="C76" s="602"/>
      <c r="D76" s="8"/>
    </row>
    <row r="77" spans="1:4" ht="15" customHeight="1">
      <c r="A77" s="37" t="s">
        <v>120</v>
      </c>
      <c r="B77" s="599" t="s">
        <v>121</v>
      </c>
      <c r="C77" s="600"/>
      <c r="D77" s="8"/>
    </row>
    <row r="78" spans="1:4" ht="15">
      <c r="A78" s="37" t="s">
        <v>122</v>
      </c>
      <c r="B78" s="599" t="s">
        <v>123</v>
      </c>
      <c r="C78" s="600"/>
      <c r="D78" s="8"/>
    </row>
    <row r="79" spans="1:4" ht="15">
      <c r="A79" s="35">
        <v>14</v>
      </c>
      <c r="B79" s="584" t="s">
        <v>124</v>
      </c>
      <c r="C79" s="585"/>
      <c r="D79" s="36"/>
    </row>
    <row r="80" spans="1:4" ht="15">
      <c r="A80" s="33" t="s">
        <v>125</v>
      </c>
      <c r="B80" s="586" t="s">
        <v>126</v>
      </c>
      <c r="C80" s="586"/>
      <c r="D80" s="23"/>
    </row>
    <row r="81" spans="1:4" ht="15" customHeight="1">
      <c r="A81" s="37" t="s">
        <v>127</v>
      </c>
      <c r="B81" s="582" t="s">
        <v>128</v>
      </c>
      <c r="C81" s="583"/>
      <c r="D81" s="8"/>
    </row>
    <row r="82" spans="1:4" ht="15">
      <c r="A82" s="37" t="s">
        <v>129</v>
      </c>
      <c r="B82" s="582" t="s">
        <v>130</v>
      </c>
      <c r="C82" s="583"/>
      <c r="D82" s="8"/>
    </row>
    <row r="83" spans="1:4" ht="15">
      <c r="A83" s="38" t="s">
        <v>131</v>
      </c>
      <c r="B83" s="601" t="s">
        <v>132</v>
      </c>
      <c r="C83" s="602"/>
      <c r="D83" s="8"/>
    </row>
    <row r="84" spans="1:4" ht="15">
      <c r="A84" s="39" t="s">
        <v>133</v>
      </c>
      <c r="B84" s="604" t="s">
        <v>134</v>
      </c>
      <c r="C84" s="604"/>
      <c r="D84" s="36"/>
    </row>
    <row r="85" spans="1:4" ht="15">
      <c r="A85" s="38" t="s">
        <v>135</v>
      </c>
      <c r="B85" s="603" t="s">
        <v>136</v>
      </c>
      <c r="C85" s="603"/>
      <c r="D85" s="8"/>
    </row>
    <row r="86" spans="1:4" ht="15" customHeight="1">
      <c r="A86" s="38" t="s">
        <v>137</v>
      </c>
      <c r="B86" s="603" t="s">
        <v>138</v>
      </c>
      <c r="C86" s="603"/>
      <c r="D86" s="8"/>
    </row>
    <row r="87" spans="1:4" ht="15">
      <c r="A87" s="38" t="s">
        <v>139</v>
      </c>
      <c r="B87" s="603" t="s">
        <v>140</v>
      </c>
      <c r="C87" s="603"/>
      <c r="D87" s="8"/>
    </row>
    <row r="88" spans="1:4" ht="15" customHeight="1">
      <c r="A88" s="38" t="s">
        <v>141</v>
      </c>
      <c r="B88" s="603" t="s">
        <v>142</v>
      </c>
      <c r="C88" s="603"/>
      <c r="D88" s="8"/>
    </row>
    <row r="89" spans="1:4" ht="15" customHeight="1">
      <c r="A89" s="38" t="s">
        <v>143</v>
      </c>
      <c r="B89" s="603" t="s">
        <v>144</v>
      </c>
      <c r="C89" s="603"/>
      <c r="D89" s="8"/>
    </row>
    <row r="90" spans="1:4" ht="15" customHeight="1">
      <c r="A90" s="38" t="s">
        <v>145</v>
      </c>
      <c r="B90" s="603" t="s">
        <v>146</v>
      </c>
      <c r="C90" s="603"/>
      <c r="D90" s="8"/>
    </row>
    <row r="91" spans="1:4" ht="15">
      <c r="A91" s="37" t="s">
        <v>147</v>
      </c>
      <c r="B91" s="601" t="s">
        <v>148</v>
      </c>
      <c r="C91" s="602"/>
      <c r="D91" s="8"/>
    </row>
    <row r="92" spans="1:4" ht="15">
      <c r="A92" s="37" t="s">
        <v>149</v>
      </c>
      <c r="B92" s="601" t="s">
        <v>150</v>
      </c>
      <c r="C92" s="602"/>
      <c r="D92" s="8"/>
    </row>
    <row r="93" spans="1:4" ht="15">
      <c r="A93" s="37" t="s">
        <v>151</v>
      </c>
      <c r="B93" s="601" t="s">
        <v>152</v>
      </c>
      <c r="C93" s="602"/>
      <c r="D93" s="8"/>
    </row>
    <row r="94" spans="1:4" ht="15">
      <c r="A94" s="37" t="s">
        <v>153</v>
      </c>
      <c r="B94" s="601" t="s">
        <v>154</v>
      </c>
      <c r="C94" s="602"/>
      <c r="D94" s="8"/>
    </row>
    <row r="95" spans="1:4" ht="15">
      <c r="A95" s="38" t="s">
        <v>155</v>
      </c>
      <c r="B95" s="601" t="s">
        <v>156</v>
      </c>
      <c r="C95" s="602"/>
      <c r="D95" s="8"/>
    </row>
    <row r="96" spans="1:4" ht="15">
      <c r="A96" s="39" t="s">
        <v>157</v>
      </c>
      <c r="B96" s="604" t="s">
        <v>158</v>
      </c>
      <c r="C96" s="604"/>
      <c r="D96" s="36"/>
    </row>
    <row r="97" spans="1:4" ht="15">
      <c r="A97" s="37" t="s">
        <v>159</v>
      </c>
      <c r="B97" s="582" t="s">
        <v>160</v>
      </c>
      <c r="C97" s="583"/>
      <c r="D97" s="8"/>
    </row>
    <row r="98" spans="1:4" ht="15">
      <c r="A98" s="37" t="s">
        <v>161</v>
      </c>
      <c r="B98" s="582" t="s">
        <v>162</v>
      </c>
      <c r="C98" s="583"/>
      <c r="D98" s="8"/>
    </row>
    <row r="99" spans="1:4" ht="15">
      <c r="A99" s="39" t="s">
        <v>163</v>
      </c>
      <c r="B99" s="604" t="s">
        <v>164</v>
      </c>
      <c r="C99" s="604"/>
      <c r="D99" s="36"/>
    </row>
    <row r="100" spans="1:4" ht="15">
      <c r="A100" s="37" t="s">
        <v>165</v>
      </c>
      <c r="B100" s="582" t="s">
        <v>166</v>
      </c>
      <c r="C100" s="583"/>
      <c r="D100" s="8"/>
    </row>
    <row r="101" spans="1:4" ht="15">
      <c r="A101" s="40">
        <v>18</v>
      </c>
      <c r="B101" s="420" t="s">
        <v>167</v>
      </c>
      <c r="C101" s="420"/>
      <c r="D101" s="36"/>
    </row>
    <row r="102" spans="1:4" ht="15">
      <c r="A102" s="33" t="s">
        <v>168</v>
      </c>
      <c r="B102" s="576" t="s">
        <v>169</v>
      </c>
      <c r="C102" s="576"/>
      <c r="D102" s="23"/>
    </row>
    <row r="103" spans="1:4" ht="15">
      <c r="A103" s="41" t="s">
        <v>170</v>
      </c>
      <c r="B103" s="572" t="s">
        <v>171</v>
      </c>
      <c r="C103" s="573"/>
      <c r="D103" s="8"/>
    </row>
    <row r="104" spans="1:4" ht="15">
      <c r="A104" s="41" t="s">
        <v>172</v>
      </c>
      <c r="B104" s="572" t="s">
        <v>173</v>
      </c>
      <c r="C104" s="573"/>
      <c r="D104" s="8"/>
    </row>
    <row r="105" spans="1:4" ht="15">
      <c r="A105" s="41" t="s">
        <v>174</v>
      </c>
      <c r="B105" s="572" t="s">
        <v>175</v>
      </c>
      <c r="C105" s="573"/>
      <c r="D105" s="8"/>
    </row>
    <row r="106" spans="1:4" ht="15">
      <c r="A106" s="33" t="s">
        <v>176</v>
      </c>
      <c r="B106" s="576" t="s">
        <v>177</v>
      </c>
      <c r="C106" s="576"/>
      <c r="D106" s="23"/>
    </row>
    <row r="107" spans="1:4" ht="15.75" thickBot="1">
      <c r="A107" s="42" t="s">
        <v>178</v>
      </c>
      <c r="B107" s="618" t="s">
        <v>179</v>
      </c>
      <c r="C107" s="618"/>
      <c r="D107" s="10"/>
    </row>
    <row r="108" spans="1:4" ht="21" thickBot="1">
      <c r="A108" s="43"/>
      <c r="B108" s="589" t="s">
        <v>180</v>
      </c>
      <c r="C108" s="590"/>
      <c r="D108" s="44"/>
    </row>
    <row r="109" spans="1:4" ht="15">
      <c r="A109" s="45" t="s">
        <v>181</v>
      </c>
      <c r="B109" s="605" t="s">
        <v>182</v>
      </c>
      <c r="C109" s="606"/>
      <c r="D109" s="32"/>
    </row>
    <row r="110" spans="1:4" ht="15">
      <c r="A110" s="46" t="s">
        <v>183</v>
      </c>
      <c r="B110" s="555" t="s">
        <v>184</v>
      </c>
      <c r="C110" s="556"/>
      <c r="D110" s="8"/>
    </row>
    <row r="111" spans="1:4" ht="15">
      <c r="A111" s="46" t="s">
        <v>185</v>
      </c>
      <c r="B111" s="555" t="s">
        <v>186</v>
      </c>
      <c r="C111" s="556"/>
      <c r="D111" s="8"/>
    </row>
    <row r="112" spans="1:4" ht="15">
      <c r="A112" s="37" t="s">
        <v>187</v>
      </c>
      <c r="B112" s="555" t="s">
        <v>188</v>
      </c>
      <c r="C112" s="556"/>
      <c r="D112" s="8"/>
    </row>
    <row r="113" spans="1:4" ht="15">
      <c r="A113" s="37" t="s">
        <v>189</v>
      </c>
      <c r="B113" s="555" t="s">
        <v>190</v>
      </c>
      <c r="C113" s="556"/>
      <c r="D113" s="8"/>
    </row>
    <row r="114" spans="1:4" ht="15">
      <c r="A114" s="37" t="s">
        <v>191</v>
      </c>
      <c r="B114" s="555" t="s">
        <v>192</v>
      </c>
      <c r="C114" s="556"/>
      <c r="D114" s="8"/>
    </row>
    <row r="115" spans="1:4" ht="15">
      <c r="A115" s="37" t="s">
        <v>193</v>
      </c>
      <c r="B115" s="555" t="s">
        <v>194</v>
      </c>
      <c r="C115" s="556"/>
      <c r="D115" s="8"/>
    </row>
    <row r="116" spans="1:4" ht="15">
      <c r="A116" s="38" t="s">
        <v>195</v>
      </c>
      <c r="B116" s="555" t="s">
        <v>196</v>
      </c>
      <c r="C116" s="556"/>
      <c r="D116" s="8"/>
    </row>
    <row r="117" spans="1:4" ht="15">
      <c r="A117" s="37" t="s">
        <v>197</v>
      </c>
      <c r="B117" s="555" t="s">
        <v>198</v>
      </c>
      <c r="C117" s="556"/>
      <c r="D117" s="8"/>
    </row>
    <row r="118" spans="1:4" ht="15">
      <c r="A118" s="46" t="s">
        <v>199</v>
      </c>
      <c r="B118" s="555" t="s">
        <v>200</v>
      </c>
      <c r="C118" s="556"/>
      <c r="D118" s="8"/>
    </row>
    <row r="119" spans="1:4" ht="15">
      <c r="A119" s="37" t="s">
        <v>201</v>
      </c>
      <c r="B119" s="555" t="s">
        <v>202</v>
      </c>
      <c r="C119" s="556"/>
      <c r="D119" s="8"/>
    </row>
    <row r="120" spans="1:4" ht="15">
      <c r="A120" s="37" t="s">
        <v>203</v>
      </c>
      <c r="B120" s="555" t="s">
        <v>204</v>
      </c>
      <c r="C120" s="556"/>
      <c r="D120" s="8"/>
    </row>
    <row r="121" spans="1:4" ht="15">
      <c r="A121" s="37" t="s">
        <v>205</v>
      </c>
      <c r="B121" s="582" t="s">
        <v>206</v>
      </c>
      <c r="C121" s="583"/>
      <c r="D121" s="8"/>
    </row>
    <row r="122" spans="1:4" ht="15">
      <c r="A122" s="37" t="s">
        <v>207</v>
      </c>
      <c r="B122" s="582" t="s">
        <v>208</v>
      </c>
      <c r="C122" s="583"/>
      <c r="D122" s="8"/>
    </row>
    <row r="123" spans="1:4" ht="15" customHeight="1">
      <c r="A123" s="38" t="s">
        <v>209</v>
      </c>
      <c r="B123" s="603" t="s">
        <v>210</v>
      </c>
      <c r="C123" s="603"/>
      <c r="D123" s="8"/>
    </row>
    <row r="124" spans="1:4" ht="15" customHeight="1">
      <c r="A124" s="38" t="s">
        <v>211</v>
      </c>
      <c r="B124" s="565" t="s">
        <v>212</v>
      </c>
      <c r="C124" s="566"/>
      <c r="D124" s="8"/>
    </row>
    <row r="125" spans="1:4" ht="15.75" customHeight="1" thickBot="1">
      <c r="A125" s="47" t="s">
        <v>213</v>
      </c>
      <c r="B125" s="616" t="s">
        <v>214</v>
      </c>
      <c r="C125" s="617"/>
      <c r="D125" s="48"/>
    </row>
    <row r="126" spans="1:4" ht="21" thickBot="1">
      <c r="A126" s="49"/>
      <c r="B126" s="607" t="s">
        <v>215</v>
      </c>
      <c r="C126" s="608"/>
      <c r="D126" s="50"/>
    </row>
    <row r="127" spans="1:4" ht="21" thickBot="1">
      <c r="A127" s="51"/>
      <c r="B127" s="589" t="s">
        <v>216</v>
      </c>
      <c r="C127" s="590"/>
      <c r="D127" s="28"/>
    </row>
    <row r="128" spans="1:4" ht="24" thickBot="1">
      <c r="A128" s="52"/>
      <c r="B128" s="609" t="s">
        <v>217</v>
      </c>
      <c r="C128" s="610"/>
      <c r="D128" s="53"/>
    </row>
    <row r="129" spans="1:4" ht="15.75">
      <c r="A129" s="2"/>
      <c r="B129" s="1"/>
      <c r="C129" s="1"/>
      <c r="D129" s="1"/>
    </row>
    <row r="130" spans="1:4" ht="15.75">
      <c r="A130" s="464"/>
      <c r="B130" s="464"/>
      <c r="C130" s="464"/>
      <c r="D130" s="464"/>
    </row>
  </sheetData>
  <sheetProtection/>
  <mergeCells count="116">
    <mergeCell ref="A130:D130"/>
    <mergeCell ref="B126:C126"/>
    <mergeCell ref="B127:C127"/>
    <mergeCell ref="B128:C128"/>
    <mergeCell ref="A2:D2"/>
    <mergeCell ref="A1:D1"/>
    <mergeCell ref="A3:D3"/>
    <mergeCell ref="B6:C6"/>
    <mergeCell ref="B123:C123"/>
    <mergeCell ref="B124:C124"/>
    <mergeCell ref="B125:C125"/>
    <mergeCell ref="B120:C120"/>
    <mergeCell ref="B121:C121"/>
    <mergeCell ref="B122:C122"/>
    <mergeCell ref="B117:C117"/>
    <mergeCell ref="B118:C118"/>
    <mergeCell ref="B119:C119"/>
    <mergeCell ref="B114:C114"/>
    <mergeCell ref="B115:C115"/>
    <mergeCell ref="B116:C116"/>
    <mergeCell ref="B111:C111"/>
    <mergeCell ref="B112:C112"/>
    <mergeCell ref="B113:C113"/>
    <mergeCell ref="B107:C107"/>
    <mergeCell ref="B108:C108"/>
    <mergeCell ref="B109:C109"/>
    <mergeCell ref="B110:C110"/>
    <mergeCell ref="B104:C104"/>
    <mergeCell ref="B105:C105"/>
    <mergeCell ref="B106:C106"/>
    <mergeCell ref="B101:C101"/>
    <mergeCell ref="B102:C102"/>
    <mergeCell ref="B103:C103"/>
    <mergeCell ref="B98:C98"/>
    <mergeCell ref="B99:C99"/>
    <mergeCell ref="B100:C100"/>
    <mergeCell ref="B95:C95"/>
    <mergeCell ref="B96:C96"/>
    <mergeCell ref="B97:C97"/>
    <mergeCell ref="B92:C92"/>
    <mergeCell ref="B93:C93"/>
    <mergeCell ref="B94:C94"/>
    <mergeCell ref="B89:C89"/>
    <mergeCell ref="B90:C90"/>
    <mergeCell ref="B91:C91"/>
    <mergeCell ref="B86:C86"/>
    <mergeCell ref="B87:C87"/>
    <mergeCell ref="B88:C88"/>
    <mergeCell ref="B83:C83"/>
    <mergeCell ref="B84:C84"/>
    <mergeCell ref="B85:C85"/>
    <mergeCell ref="B80:C80"/>
    <mergeCell ref="B81:C81"/>
    <mergeCell ref="B82:C82"/>
    <mergeCell ref="B77:C77"/>
    <mergeCell ref="B78:C78"/>
    <mergeCell ref="B79:C79"/>
    <mergeCell ref="B74:C74"/>
    <mergeCell ref="B75:C75"/>
    <mergeCell ref="B76:C76"/>
    <mergeCell ref="B71:C71"/>
    <mergeCell ref="B72:C72"/>
    <mergeCell ref="B73:C73"/>
    <mergeCell ref="B66:C66"/>
    <mergeCell ref="B67:C67"/>
    <mergeCell ref="B68:C68"/>
    <mergeCell ref="B69:C69"/>
    <mergeCell ref="B70:C70"/>
    <mergeCell ref="B62:C62"/>
    <mergeCell ref="B63:C63"/>
    <mergeCell ref="B64:C64"/>
    <mergeCell ref="B65:C65"/>
    <mergeCell ref="B59:C59"/>
    <mergeCell ref="B60:C60"/>
    <mergeCell ref="B61:C61"/>
    <mergeCell ref="B57:C57"/>
    <mergeCell ref="B58:C58"/>
    <mergeCell ref="B44:C44"/>
    <mergeCell ref="B45:C45"/>
    <mergeCell ref="B41:C41"/>
    <mergeCell ref="B42:C42"/>
    <mergeCell ref="B43:C43"/>
    <mergeCell ref="B38:C38"/>
    <mergeCell ref="B39:C39"/>
    <mergeCell ref="B40:C40"/>
    <mergeCell ref="B37:C37"/>
    <mergeCell ref="B34:C34"/>
    <mergeCell ref="B35:C35"/>
    <mergeCell ref="B36:C36"/>
    <mergeCell ref="B31:C31"/>
    <mergeCell ref="B32:C32"/>
    <mergeCell ref="B33:C33"/>
    <mergeCell ref="B28:C28"/>
    <mergeCell ref="B29:C29"/>
    <mergeCell ref="B30:C30"/>
    <mergeCell ref="B25:C25"/>
    <mergeCell ref="B26:C26"/>
    <mergeCell ref="B27:C27"/>
    <mergeCell ref="B21:C21"/>
    <mergeCell ref="B22:C22"/>
    <mergeCell ref="B23:C23"/>
    <mergeCell ref="B24:C24"/>
    <mergeCell ref="B9:C9"/>
    <mergeCell ref="B10:C10"/>
    <mergeCell ref="B11:C11"/>
    <mergeCell ref="B7:C7"/>
    <mergeCell ref="B8:C8"/>
    <mergeCell ref="B18:C18"/>
    <mergeCell ref="B19:C19"/>
    <mergeCell ref="B20:C20"/>
    <mergeCell ref="B15:C15"/>
    <mergeCell ref="B16:C16"/>
    <mergeCell ref="B17:C17"/>
    <mergeCell ref="B12:C12"/>
    <mergeCell ref="B13:C13"/>
    <mergeCell ref="B14:C14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4"/>
  <sheetViews>
    <sheetView zoomScalePageLayoutView="0" workbookViewId="0" topLeftCell="A1">
      <selection activeCell="F18" sqref="F18"/>
    </sheetView>
  </sheetViews>
  <sheetFormatPr defaultColWidth="9.140625" defaultRowHeight="15"/>
  <cols>
    <col min="1" max="1" width="14.57421875" style="0" customWidth="1"/>
    <col min="2" max="2" width="5.00390625" style="0" customWidth="1"/>
    <col min="3" max="3" width="4.00390625" style="0" customWidth="1"/>
    <col min="4" max="4" width="4.57421875" style="0" customWidth="1"/>
    <col min="5" max="5" width="5.421875" style="0" customWidth="1"/>
    <col min="6" max="6" width="4.7109375" style="0" customWidth="1"/>
    <col min="7" max="7" width="4.140625" style="0" customWidth="1"/>
    <col min="8" max="8" width="4.28125" style="0" customWidth="1"/>
    <col min="9" max="9" width="4.57421875" style="0" customWidth="1"/>
    <col min="10" max="10" width="4.140625" style="0" customWidth="1"/>
    <col min="11" max="12" width="4.28125" style="0" customWidth="1"/>
    <col min="13" max="13" width="3.7109375" style="0" customWidth="1"/>
    <col min="14" max="15" width="4.140625" style="0" customWidth="1"/>
    <col min="16" max="16" width="3.57421875" style="0" customWidth="1"/>
    <col min="17" max="17" width="4.28125" style="0" customWidth="1"/>
    <col min="18" max="18" width="3.7109375" style="0" customWidth="1"/>
    <col min="19" max="19" width="4.140625" style="0" customWidth="1"/>
    <col min="20" max="20" width="3.8515625" style="0" customWidth="1"/>
    <col min="21" max="22" width="3.57421875" style="0" customWidth="1"/>
    <col min="23" max="23" width="4.00390625" style="0" customWidth="1"/>
    <col min="24" max="24" width="3.57421875" style="0" customWidth="1"/>
    <col min="25" max="25" width="4.00390625" style="0" customWidth="1"/>
    <col min="26" max="26" width="3.00390625" style="0" customWidth="1"/>
    <col min="27" max="27" width="3.8515625" style="0" customWidth="1"/>
    <col min="28" max="28" width="4.57421875" style="0" customWidth="1"/>
    <col min="29" max="29" width="4.00390625" style="0" customWidth="1"/>
    <col min="30" max="30" width="4.28125" style="0" customWidth="1"/>
    <col min="31" max="32" width="4.421875" style="0" customWidth="1"/>
  </cols>
  <sheetData>
    <row r="1" spans="1:33" ht="15">
      <c r="A1" s="76"/>
      <c r="B1" s="619" t="s">
        <v>560</v>
      </c>
      <c r="C1" s="619"/>
      <c r="D1" s="619"/>
      <c r="E1" s="619"/>
      <c r="F1" s="619"/>
      <c r="G1" s="619"/>
      <c r="H1" s="619"/>
      <c r="I1" s="619"/>
      <c r="J1" s="619"/>
      <c r="K1" s="619"/>
      <c r="L1" s="619"/>
      <c r="M1" s="619"/>
      <c r="N1" s="619"/>
      <c r="O1" s="619"/>
      <c r="P1" s="619"/>
      <c r="Q1" s="619"/>
      <c r="R1" s="619"/>
      <c r="S1" s="619"/>
      <c r="T1" s="619"/>
      <c r="U1" s="619"/>
      <c r="V1" s="619"/>
      <c r="W1" s="619"/>
      <c r="X1" s="619"/>
      <c r="Y1" s="619"/>
      <c r="Z1" s="619"/>
      <c r="AA1" s="619"/>
      <c r="AB1" s="619"/>
      <c r="AC1" s="619"/>
      <c r="AD1" s="619"/>
      <c r="AE1" s="619"/>
      <c r="AF1" s="619"/>
      <c r="AG1" s="619"/>
    </row>
    <row r="2" spans="1:33" ht="15">
      <c r="A2" s="72" t="s">
        <v>446</v>
      </c>
      <c r="B2" s="72">
        <v>1</v>
      </c>
      <c r="C2" s="72">
        <v>2</v>
      </c>
      <c r="D2" s="77">
        <v>3</v>
      </c>
      <c r="E2" s="77">
        <v>4</v>
      </c>
      <c r="F2" s="72">
        <v>5</v>
      </c>
      <c r="G2" s="72">
        <v>6</v>
      </c>
      <c r="H2" s="72">
        <v>7</v>
      </c>
      <c r="I2" s="72">
        <v>8</v>
      </c>
      <c r="J2" s="72">
        <v>9</v>
      </c>
      <c r="K2" s="77">
        <v>10</v>
      </c>
      <c r="L2" s="77">
        <v>11</v>
      </c>
      <c r="M2" s="72">
        <v>12</v>
      </c>
      <c r="N2" s="72">
        <v>13</v>
      </c>
      <c r="O2" s="72">
        <v>14</v>
      </c>
      <c r="P2" s="72">
        <v>15</v>
      </c>
      <c r="Q2" s="72">
        <v>16</v>
      </c>
      <c r="R2" s="77">
        <v>17</v>
      </c>
      <c r="S2" s="77">
        <v>18</v>
      </c>
      <c r="T2" s="72">
        <v>19</v>
      </c>
      <c r="U2" s="72">
        <v>20</v>
      </c>
      <c r="V2" s="72">
        <v>21</v>
      </c>
      <c r="W2" s="72">
        <v>22</v>
      </c>
      <c r="X2" s="72">
        <v>23</v>
      </c>
      <c r="Y2" s="77">
        <v>24</v>
      </c>
      <c r="Z2" s="77">
        <v>25</v>
      </c>
      <c r="AA2" s="72">
        <v>26</v>
      </c>
      <c r="AB2" s="72">
        <v>27</v>
      </c>
      <c r="AC2" s="72">
        <v>28</v>
      </c>
      <c r="AD2" s="72">
        <v>29</v>
      </c>
      <c r="AE2" s="72">
        <v>30</v>
      </c>
      <c r="AF2" s="109">
        <v>31</v>
      </c>
      <c r="AG2" s="72" t="s">
        <v>561</v>
      </c>
    </row>
    <row r="3" spans="1:33" ht="15">
      <c r="A3" s="72" t="s">
        <v>304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>
        <f>B3+C3+D3+E3+F3+G3+H3+I3+J3+K3+L3+M3+N3+O3+P3+Q3+R3+S3+T3+U3+V3+W3+X3+Y3+Z3+AA3+AB3+AC3+AD3+AE3+AF3</f>
        <v>0</v>
      </c>
    </row>
    <row r="4" spans="1:33" ht="15">
      <c r="A4" s="72" t="s">
        <v>305</v>
      </c>
      <c r="B4" s="72">
        <v>8</v>
      </c>
      <c r="C4" s="72">
        <v>8</v>
      </c>
      <c r="D4" s="72"/>
      <c r="E4" s="72"/>
      <c r="F4" s="72">
        <v>8</v>
      </c>
      <c r="G4" s="72">
        <v>8</v>
      </c>
      <c r="H4" s="72">
        <v>8</v>
      </c>
      <c r="I4" s="72">
        <v>8</v>
      </c>
      <c r="J4" s="72">
        <f>3+1+3</f>
        <v>7</v>
      </c>
      <c r="K4" s="72"/>
      <c r="L4" s="72"/>
      <c r="M4" s="72"/>
      <c r="N4" s="72">
        <v>8</v>
      </c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>
        <f aca="true" t="shared" si="0" ref="AG4:AG14">B4+C4+D4+E4+F4+G4+H4+I4+J4+K4+L4+M4+N4+O4+P4+Q4+R4+S4+T4+U4+V4+W4+X4+Y4+Z4+AA4+AB4+AC4+AD4+AE4+AF4</f>
        <v>63</v>
      </c>
    </row>
    <row r="5" spans="1:33" ht="15">
      <c r="A5" s="72" t="s">
        <v>235</v>
      </c>
      <c r="B5" s="72">
        <v>8</v>
      </c>
      <c r="C5" s="72">
        <v>8</v>
      </c>
      <c r="D5" s="72"/>
      <c r="E5" s="72"/>
      <c r="F5" s="72">
        <v>8</v>
      </c>
      <c r="G5" s="72">
        <v>8</v>
      </c>
      <c r="H5" s="72">
        <v>8</v>
      </c>
      <c r="I5" s="72">
        <v>8</v>
      </c>
      <c r="J5" s="72">
        <f>3+3+1</f>
        <v>7</v>
      </c>
      <c r="K5" s="72"/>
      <c r="L5" s="72"/>
      <c r="M5" s="72">
        <f>1.5+3.5+3</f>
        <v>8</v>
      </c>
      <c r="N5" s="72">
        <v>8</v>
      </c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>
        <f t="shared" si="0"/>
        <v>71</v>
      </c>
    </row>
    <row r="6" spans="1:33" ht="15">
      <c r="A6" s="72" t="s">
        <v>400</v>
      </c>
      <c r="B6" s="72">
        <v>8</v>
      </c>
      <c r="C6" s="72">
        <v>7</v>
      </c>
      <c r="D6" s="72"/>
      <c r="E6" s="72"/>
      <c r="F6" s="72"/>
      <c r="G6" s="72"/>
      <c r="H6" s="72">
        <v>8</v>
      </c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>
        <f t="shared" si="0"/>
        <v>23</v>
      </c>
    </row>
    <row r="7" spans="1:33" ht="15">
      <c r="A7" s="72" t="s">
        <v>328</v>
      </c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>
        <f t="shared" si="0"/>
        <v>0</v>
      </c>
    </row>
    <row r="8" spans="1:33" ht="15">
      <c r="A8" s="72" t="s">
        <v>390</v>
      </c>
      <c r="B8" s="72">
        <v>8</v>
      </c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111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>
        <f t="shared" si="0"/>
        <v>8</v>
      </c>
    </row>
    <row r="9" spans="1:33" ht="15">
      <c r="A9" s="72" t="s">
        <v>342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>
        <f t="shared" si="0"/>
        <v>0</v>
      </c>
    </row>
    <row r="10" spans="1:33" ht="15">
      <c r="A10" s="72" t="s">
        <v>243</v>
      </c>
      <c r="B10" s="72">
        <v>8</v>
      </c>
      <c r="C10" s="72">
        <v>7</v>
      </c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>
        <f t="shared" si="0"/>
        <v>15</v>
      </c>
    </row>
    <row r="11" spans="1:33" ht="15">
      <c r="A11" s="72" t="s">
        <v>370</v>
      </c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111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>
        <f t="shared" si="0"/>
        <v>0</v>
      </c>
    </row>
    <row r="12" spans="1:33" ht="15">
      <c r="A12" s="72" t="s">
        <v>279</v>
      </c>
      <c r="B12" s="72">
        <v>8</v>
      </c>
      <c r="C12" s="72">
        <v>7</v>
      </c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>
        <f t="shared" si="0"/>
        <v>15</v>
      </c>
    </row>
    <row r="13" spans="1:33" ht="15">
      <c r="A13" s="110" t="s">
        <v>360</v>
      </c>
      <c r="B13" s="72">
        <v>8</v>
      </c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>
        <f t="shared" si="0"/>
        <v>8</v>
      </c>
    </row>
    <row r="14" spans="1:33" ht="15">
      <c r="A14" s="110" t="s">
        <v>309</v>
      </c>
      <c r="B14" s="72">
        <v>8</v>
      </c>
      <c r="C14" s="72">
        <v>7</v>
      </c>
      <c r="D14" s="72"/>
      <c r="E14" s="72"/>
      <c r="F14" s="72"/>
      <c r="G14" s="72"/>
      <c r="H14" s="72"/>
      <c r="I14" s="72"/>
      <c r="J14" s="72"/>
      <c r="K14" s="72"/>
      <c r="L14" s="72"/>
      <c r="M14" s="72">
        <v>8</v>
      </c>
      <c r="N14" s="72">
        <v>8</v>
      </c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>
        <f t="shared" si="0"/>
        <v>31</v>
      </c>
    </row>
  </sheetData>
  <sheetProtection/>
  <mergeCells count="1">
    <mergeCell ref="B1:AG1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landscape" paperSize="9" scale="88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25"/>
  <sheetViews>
    <sheetView zoomScalePageLayoutView="0" workbookViewId="0" topLeftCell="A52">
      <selection activeCell="G99" sqref="G99"/>
    </sheetView>
  </sheetViews>
  <sheetFormatPr defaultColWidth="9.140625" defaultRowHeight="15"/>
  <cols>
    <col min="1" max="1" width="80.8515625" style="0" customWidth="1"/>
    <col min="2" max="2" width="3.28125" style="0" hidden="1" customWidth="1"/>
    <col min="3" max="3" width="33.8515625" style="0" customWidth="1"/>
  </cols>
  <sheetData>
    <row r="1" spans="1:4" ht="15.75">
      <c r="A1" s="381" t="s">
        <v>230</v>
      </c>
      <c r="B1" s="381"/>
      <c r="C1" s="381"/>
      <c r="D1" s="381"/>
    </row>
    <row r="2" spans="1:4" ht="15.75">
      <c r="A2" s="382" t="s">
        <v>252</v>
      </c>
      <c r="B2" s="382"/>
      <c r="C2" s="382"/>
      <c r="D2" s="382"/>
    </row>
    <row r="3" spans="1:4" s="55" customFormat="1" ht="15.75">
      <c r="A3" s="382" t="s">
        <v>652</v>
      </c>
      <c r="B3" s="382"/>
      <c r="C3" s="382"/>
      <c r="D3" s="382"/>
    </row>
    <row r="4" spans="1:4" s="55" customFormat="1" ht="15.75">
      <c r="A4" s="107"/>
      <c r="B4" s="107"/>
      <c r="C4" s="89"/>
      <c r="D4" s="89"/>
    </row>
    <row r="5" spans="1:4" ht="30">
      <c r="A5" s="383" t="s">
        <v>229</v>
      </c>
      <c r="B5" s="384"/>
      <c r="C5" s="86" t="s">
        <v>231</v>
      </c>
      <c r="D5" s="85" t="s">
        <v>531</v>
      </c>
    </row>
    <row r="6" spans="1:4" ht="15">
      <c r="A6" s="383" t="s">
        <v>229</v>
      </c>
      <c r="B6" s="384"/>
      <c r="C6" s="73"/>
      <c r="D6" s="73"/>
    </row>
    <row r="7" spans="1:4" ht="15.75" thickBot="1">
      <c r="A7" s="379" t="s">
        <v>0</v>
      </c>
      <c r="B7" s="380"/>
      <c r="C7" s="76"/>
      <c r="D7" s="76"/>
    </row>
    <row r="8" spans="1:4" ht="15">
      <c r="A8" s="435" t="s">
        <v>24</v>
      </c>
      <c r="B8" s="436"/>
      <c r="C8" s="77"/>
      <c r="D8" s="77"/>
    </row>
    <row r="9" spans="1:4" ht="15">
      <c r="A9" s="435" t="s">
        <v>236</v>
      </c>
      <c r="B9" s="436"/>
      <c r="C9" s="77"/>
      <c r="D9" s="77"/>
    </row>
    <row r="10" spans="1:4" ht="15.75" thickBot="1">
      <c r="A10" s="451" t="s">
        <v>28</v>
      </c>
      <c r="B10" s="445"/>
      <c r="C10" s="77"/>
      <c r="D10" s="77"/>
    </row>
    <row r="11" spans="1:4" ht="15.75" thickBot="1">
      <c r="A11" s="375" t="s">
        <v>29</v>
      </c>
      <c r="B11" s="376"/>
      <c r="C11" s="77"/>
      <c r="D11" s="77"/>
    </row>
    <row r="12" spans="1:4" ht="15">
      <c r="A12" s="433" t="s">
        <v>45</v>
      </c>
      <c r="B12" s="434"/>
      <c r="C12" s="77"/>
      <c r="D12" s="77"/>
    </row>
    <row r="13" spans="1:4" ht="15.75" thickBot="1">
      <c r="A13" s="449" t="s">
        <v>55</v>
      </c>
      <c r="B13" s="450"/>
      <c r="C13" s="77"/>
      <c r="D13" s="77"/>
    </row>
    <row r="14" spans="1:4" ht="15.75" thickBot="1">
      <c r="A14" s="377" t="s">
        <v>56</v>
      </c>
      <c r="B14" s="378"/>
      <c r="C14" s="77"/>
      <c r="D14" s="77"/>
    </row>
    <row r="15" spans="1:4" ht="15.75" thickBot="1">
      <c r="A15" s="375" t="s">
        <v>57</v>
      </c>
      <c r="B15" s="376"/>
      <c r="C15" s="77"/>
      <c r="D15" s="77"/>
    </row>
    <row r="16" spans="1:4" ht="15.75" thickBot="1">
      <c r="A16" s="191" t="s">
        <v>969</v>
      </c>
      <c r="B16" s="192"/>
      <c r="C16" s="72" t="s">
        <v>370</v>
      </c>
      <c r="D16" s="72">
        <f>130+175</f>
        <v>305</v>
      </c>
    </row>
    <row r="17" spans="1:4" s="73" customFormat="1" ht="15">
      <c r="A17" s="399" t="s">
        <v>981</v>
      </c>
      <c r="B17" s="400"/>
      <c r="C17" s="105" t="s">
        <v>982</v>
      </c>
      <c r="D17" s="72">
        <f>1.5+1.5+1.5</f>
        <v>4.5</v>
      </c>
    </row>
    <row r="18" spans="1:4" s="73" customFormat="1" ht="15">
      <c r="A18" s="226" t="s">
        <v>983</v>
      </c>
      <c r="B18" s="227"/>
      <c r="C18" s="72" t="s">
        <v>342</v>
      </c>
      <c r="D18" s="72">
        <v>1</v>
      </c>
    </row>
    <row r="19" spans="1:4" s="73" customFormat="1" ht="15" customHeight="1">
      <c r="A19" s="399" t="s">
        <v>984</v>
      </c>
      <c r="B19" s="400"/>
      <c r="C19" s="72" t="s">
        <v>985</v>
      </c>
      <c r="D19" s="72">
        <f>2+1</f>
        <v>3</v>
      </c>
    </row>
    <row r="20" spans="1:4" ht="15">
      <c r="A20" s="399" t="s">
        <v>1001</v>
      </c>
      <c r="B20" s="400"/>
      <c r="C20" s="72" t="s">
        <v>429</v>
      </c>
      <c r="D20" s="72">
        <v>2</v>
      </c>
    </row>
    <row r="21" spans="1:4" ht="15" customHeight="1">
      <c r="A21" s="399" t="s">
        <v>435</v>
      </c>
      <c r="B21" s="400"/>
      <c r="C21" s="72" t="s">
        <v>436</v>
      </c>
      <c r="D21" s="72">
        <v>3</v>
      </c>
    </row>
    <row r="22" spans="1:4" s="73" customFormat="1" ht="15">
      <c r="A22" s="400" t="s">
        <v>473</v>
      </c>
      <c r="B22" s="448"/>
      <c r="C22" s="105" t="s">
        <v>347</v>
      </c>
      <c r="D22" s="72">
        <v>2</v>
      </c>
    </row>
    <row r="23" spans="1:4" s="73" customFormat="1" ht="15">
      <c r="A23" s="400" t="s">
        <v>475</v>
      </c>
      <c r="B23" s="448"/>
      <c r="C23" s="72" t="s">
        <v>468</v>
      </c>
      <c r="D23" s="72">
        <v>8</v>
      </c>
    </row>
    <row r="24" spans="1:4" ht="15">
      <c r="A24" s="399" t="s">
        <v>563</v>
      </c>
      <c r="B24" s="400"/>
      <c r="C24" s="72" t="s">
        <v>279</v>
      </c>
      <c r="D24" s="72">
        <v>0.25</v>
      </c>
    </row>
    <row r="25" spans="1:4" s="94" customFormat="1" ht="15">
      <c r="A25" s="403" t="s">
        <v>1019</v>
      </c>
      <c r="B25" s="404"/>
      <c r="C25" s="199" t="s">
        <v>279</v>
      </c>
      <c r="D25" s="199">
        <v>1</v>
      </c>
    </row>
    <row r="26" spans="1:4" ht="15" customHeight="1">
      <c r="A26" s="436" t="s">
        <v>62</v>
      </c>
      <c r="B26" s="447"/>
      <c r="C26" s="77"/>
      <c r="D26" s="77"/>
    </row>
    <row r="27" spans="1:4" ht="15.75" customHeight="1" thickBot="1">
      <c r="A27" s="445" t="s">
        <v>63</v>
      </c>
      <c r="B27" s="446"/>
      <c r="C27" s="77"/>
      <c r="D27" s="77"/>
    </row>
    <row r="28" spans="1:4" ht="15.75" thickBot="1">
      <c r="A28" s="387" t="s">
        <v>64</v>
      </c>
      <c r="B28" s="377"/>
      <c r="C28" s="77"/>
      <c r="D28" s="77"/>
    </row>
    <row r="29" spans="1:4" ht="15">
      <c r="A29" s="388" t="s">
        <v>66</v>
      </c>
      <c r="B29" s="389"/>
      <c r="C29" s="77"/>
      <c r="D29" s="77"/>
    </row>
    <row r="30" spans="1:4" ht="15">
      <c r="A30" s="60" t="s">
        <v>68</v>
      </c>
      <c r="B30" s="61"/>
      <c r="C30" s="77"/>
      <c r="D30" s="77"/>
    </row>
    <row r="31" spans="1:4" ht="28.5">
      <c r="A31" s="193" t="s">
        <v>971</v>
      </c>
      <c r="B31" s="237"/>
      <c r="C31" s="72" t="s">
        <v>823</v>
      </c>
      <c r="D31" s="72">
        <f>3*130*2+175</f>
        <v>955</v>
      </c>
    </row>
    <row r="32" spans="1:4" ht="15">
      <c r="A32" s="193" t="s">
        <v>972</v>
      </c>
      <c r="B32" s="237"/>
      <c r="C32" s="72" t="s">
        <v>370</v>
      </c>
      <c r="D32" s="72">
        <f>3*130+175</f>
        <v>565</v>
      </c>
    </row>
    <row r="33" spans="1:4" ht="15" customHeight="1">
      <c r="A33" s="87" t="s">
        <v>343</v>
      </c>
      <c r="B33" s="140"/>
      <c r="C33" s="181" t="s">
        <v>369</v>
      </c>
      <c r="D33" s="199">
        <f>0.5+0.5</f>
        <v>1</v>
      </c>
    </row>
    <row r="34" spans="1:4" ht="15" customHeight="1">
      <c r="A34" s="87" t="s">
        <v>833</v>
      </c>
      <c r="B34" s="140"/>
      <c r="C34" s="181" t="s">
        <v>390</v>
      </c>
      <c r="D34" s="199">
        <v>2</v>
      </c>
    </row>
    <row r="35" spans="1:4" s="73" customFormat="1" ht="18" customHeight="1">
      <c r="A35" s="87" t="s">
        <v>852</v>
      </c>
      <c r="B35" s="88"/>
      <c r="C35" s="105" t="s">
        <v>850</v>
      </c>
      <c r="D35" s="72">
        <f>2+2</f>
        <v>4</v>
      </c>
    </row>
    <row r="36" spans="1:4" s="73" customFormat="1" ht="20.25" customHeight="1">
      <c r="A36" s="87" t="s">
        <v>986</v>
      </c>
      <c r="B36" s="88"/>
      <c r="C36" s="105" t="s">
        <v>987</v>
      </c>
      <c r="D36" s="72">
        <f>1.5+1.5+2+2</f>
        <v>7</v>
      </c>
    </row>
    <row r="37" spans="1:4" s="73" customFormat="1" ht="15" customHeight="1">
      <c r="A37" s="87" t="s">
        <v>988</v>
      </c>
      <c r="B37" s="88"/>
      <c r="C37" s="72" t="s">
        <v>370</v>
      </c>
      <c r="D37" s="72">
        <v>1.5</v>
      </c>
    </row>
    <row r="38" spans="1:4" ht="15.75" customHeight="1">
      <c r="A38" s="87" t="s">
        <v>989</v>
      </c>
      <c r="B38" s="88"/>
      <c r="C38" s="105" t="s">
        <v>990</v>
      </c>
      <c r="D38" s="72">
        <f>2.5+2.5+2.5+2.5</f>
        <v>10</v>
      </c>
    </row>
    <row r="39" spans="1:4" ht="15.75" customHeight="1">
      <c r="A39" s="234" t="s">
        <v>991</v>
      </c>
      <c r="B39" s="235"/>
      <c r="C39" s="162" t="s">
        <v>279</v>
      </c>
      <c r="D39" s="162">
        <v>2</v>
      </c>
    </row>
    <row r="40" spans="1:4" s="89" customFormat="1" ht="15" customHeight="1">
      <c r="A40" s="182" t="s">
        <v>992</v>
      </c>
      <c r="B40" s="182"/>
      <c r="C40" s="72" t="s">
        <v>985</v>
      </c>
      <c r="D40" s="72">
        <f>1.5+1.5</f>
        <v>3</v>
      </c>
    </row>
    <row r="41" spans="1:4" s="73" customFormat="1" ht="15">
      <c r="A41" s="400" t="s">
        <v>1002</v>
      </c>
      <c r="B41" s="448"/>
      <c r="C41" s="105" t="s">
        <v>471</v>
      </c>
      <c r="D41" s="72">
        <v>2</v>
      </c>
    </row>
    <row r="42" spans="1:4" s="73" customFormat="1" ht="17.25" customHeight="1">
      <c r="A42" s="400" t="s">
        <v>755</v>
      </c>
      <c r="B42" s="448"/>
      <c r="C42" s="105" t="s">
        <v>433</v>
      </c>
      <c r="D42" s="72">
        <v>3</v>
      </c>
    </row>
    <row r="43" spans="1:4" s="73" customFormat="1" ht="15" customHeight="1">
      <c r="A43" s="87" t="s">
        <v>766</v>
      </c>
      <c r="B43" s="88"/>
      <c r="C43" s="72" t="s">
        <v>613</v>
      </c>
      <c r="D43" s="72">
        <v>8</v>
      </c>
    </row>
    <row r="44" spans="1:4" s="73" customFormat="1" ht="17.25" customHeight="1">
      <c r="A44" s="400" t="s">
        <v>1013</v>
      </c>
      <c r="B44" s="448"/>
      <c r="C44" s="105" t="s">
        <v>693</v>
      </c>
      <c r="D44" s="72">
        <v>3</v>
      </c>
    </row>
    <row r="45" spans="1:4" s="73" customFormat="1" ht="15" customHeight="1">
      <c r="A45" s="87" t="s">
        <v>1020</v>
      </c>
      <c r="B45" s="88"/>
      <c r="C45" s="72" t="s">
        <v>613</v>
      </c>
      <c r="D45" s="72">
        <v>2</v>
      </c>
    </row>
    <row r="46" spans="1:4" ht="15">
      <c r="A46" s="62" t="s">
        <v>237</v>
      </c>
      <c r="B46" s="63"/>
      <c r="C46" s="77"/>
      <c r="D46" s="77"/>
    </row>
    <row r="47" spans="1:4" ht="15" customHeight="1">
      <c r="A47" s="64" t="s">
        <v>238</v>
      </c>
      <c r="B47" s="65"/>
      <c r="C47" s="77"/>
      <c r="D47" s="77"/>
    </row>
    <row r="48" spans="1:4" ht="15" customHeight="1">
      <c r="A48" s="66" t="s">
        <v>80</v>
      </c>
      <c r="B48" s="67"/>
      <c r="C48" s="77"/>
      <c r="D48" s="77"/>
    </row>
    <row r="49" spans="1:4" ht="15" customHeight="1">
      <c r="A49" s="64" t="s">
        <v>82</v>
      </c>
      <c r="B49" s="65"/>
      <c r="C49" s="77"/>
      <c r="D49" s="77"/>
    </row>
    <row r="50" spans="1:4" ht="15">
      <c r="A50" s="64" t="s">
        <v>84</v>
      </c>
      <c r="B50" s="65"/>
      <c r="C50" s="77"/>
      <c r="D50" s="77"/>
    </row>
    <row r="51" spans="1:4" ht="15" customHeight="1">
      <c r="A51" s="64" t="s">
        <v>86</v>
      </c>
      <c r="B51" s="65"/>
      <c r="C51" s="77"/>
      <c r="D51" s="77"/>
    </row>
    <row r="52" spans="1:4" ht="15" customHeight="1">
      <c r="A52" s="68" t="s">
        <v>88</v>
      </c>
      <c r="B52" s="69"/>
      <c r="C52" s="77"/>
      <c r="D52" s="77"/>
    </row>
    <row r="53" spans="1:4" ht="15">
      <c r="A53" s="390" t="s">
        <v>90</v>
      </c>
      <c r="B53" s="391"/>
      <c r="C53" s="77"/>
      <c r="D53" s="77"/>
    </row>
    <row r="54" spans="1:4" ht="15">
      <c r="A54" s="228" t="s">
        <v>962</v>
      </c>
      <c r="B54" s="116"/>
      <c r="C54" s="72" t="s">
        <v>433</v>
      </c>
      <c r="D54" s="72">
        <f>1*130*2+175</f>
        <v>435</v>
      </c>
    </row>
    <row r="55" spans="1:4" s="73" customFormat="1" ht="15">
      <c r="A55" s="228" t="s">
        <v>963</v>
      </c>
      <c r="B55" s="116"/>
      <c r="C55" s="72" t="s">
        <v>960</v>
      </c>
      <c r="D55" s="72">
        <f>3*2*130+175</f>
        <v>955</v>
      </c>
    </row>
    <row r="56" spans="1:4" s="73" customFormat="1" ht="15">
      <c r="A56" s="229" t="s">
        <v>964</v>
      </c>
      <c r="B56" s="116"/>
      <c r="C56" s="72" t="s">
        <v>699</v>
      </c>
      <c r="D56" s="72">
        <f>2*130*3+175</f>
        <v>955</v>
      </c>
    </row>
    <row r="57" spans="1:4" s="73" customFormat="1" ht="15">
      <c r="A57" s="229" t="s">
        <v>965</v>
      </c>
      <c r="B57" s="116"/>
      <c r="C57" s="72" t="s">
        <v>279</v>
      </c>
      <c r="D57" s="72">
        <f>2*130+175</f>
        <v>435</v>
      </c>
    </row>
    <row r="58" spans="1:4" s="73" customFormat="1" ht="30">
      <c r="A58" s="229" t="s">
        <v>966</v>
      </c>
      <c r="B58" s="116"/>
      <c r="C58" s="105" t="s">
        <v>961</v>
      </c>
      <c r="D58" s="72">
        <f>3*130*2+175</f>
        <v>955</v>
      </c>
    </row>
    <row r="59" spans="1:4" s="73" customFormat="1" ht="15">
      <c r="A59" s="229" t="s">
        <v>967</v>
      </c>
      <c r="B59" s="116"/>
      <c r="C59" s="72" t="s">
        <v>481</v>
      </c>
      <c r="D59" s="72">
        <f>1.5*130*2+175</f>
        <v>565</v>
      </c>
    </row>
    <row r="60" spans="1:4" s="73" customFormat="1" ht="15">
      <c r="A60" s="229" t="s">
        <v>968</v>
      </c>
      <c r="B60" s="116"/>
      <c r="C60" s="72" t="s">
        <v>279</v>
      </c>
      <c r="D60" s="72">
        <f>3*130</f>
        <v>390</v>
      </c>
    </row>
    <row r="61" spans="1:4" ht="15">
      <c r="A61" s="252" t="s">
        <v>973</v>
      </c>
      <c r="B61" s="253"/>
      <c r="C61" s="72" t="s">
        <v>917</v>
      </c>
      <c r="D61" s="72">
        <f>3*130*2+175</f>
        <v>955</v>
      </c>
    </row>
    <row r="62" spans="1:4" ht="15">
      <c r="A62" s="252" t="s">
        <v>974</v>
      </c>
      <c r="B62" s="253"/>
      <c r="C62" s="72" t="s">
        <v>429</v>
      </c>
      <c r="D62" s="72">
        <f>175+130*1.75*2</f>
        <v>630</v>
      </c>
    </row>
    <row r="63" spans="1:4" ht="15">
      <c r="A63" s="252" t="s">
        <v>822</v>
      </c>
      <c r="B63" s="253"/>
      <c r="C63" s="72" t="s">
        <v>279</v>
      </c>
      <c r="D63" s="72">
        <f>130*0.5</f>
        <v>65</v>
      </c>
    </row>
    <row r="64" spans="1:4" ht="15">
      <c r="A64" s="90" t="s">
        <v>821</v>
      </c>
      <c r="B64" s="232"/>
      <c r="C64" s="72" t="s">
        <v>279</v>
      </c>
      <c r="D64" s="72">
        <v>240</v>
      </c>
    </row>
    <row r="65" spans="1:4" s="94" customFormat="1" ht="15">
      <c r="A65" s="229" t="s">
        <v>975</v>
      </c>
      <c r="B65" s="231"/>
      <c r="C65" s="72" t="s">
        <v>400</v>
      </c>
      <c r="D65" s="72">
        <f>350+130</f>
        <v>480</v>
      </c>
    </row>
    <row r="66" spans="1:4" s="94" customFormat="1" ht="15">
      <c r="A66" s="229" t="s">
        <v>976</v>
      </c>
      <c r="B66" s="231"/>
      <c r="C66" s="72" t="s">
        <v>390</v>
      </c>
      <c r="D66" s="72">
        <f>350+130</f>
        <v>480</v>
      </c>
    </row>
    <row r="67" spans="1:4" s="94" customFormat="1" ht="15">
      <c r="A67" s="229" t="s">
        <v>977</v>
      </c>
      <c r="B67" s="231"/>
      <c r="C67" s="72" t="s">
        <v>817</v>
      </c>
      <c r="D67" s="72">
        <f>130*0.5*2+165</f>
        <v>295</v>
      </c>
    </row>
    <row r="68" spans="1:4" ht="15" customHeight="1">
      <c r="A68" s="401" t="s">
        <v>979</v>
      </c>
      <c r="B68" s="402"/>
      <c r="C68" s="181" t="s">
        <v>279</v>
      </c>
      <c r="D68" s="199">
        <v>0.5</v>
      </c>
    </row>
    <row r="69" spans="1:4" ht="15.75" customHeight="1">
      <c r="A69" s="424" t="s">
        <v>980</v>
      </c>
      <c r="B69" s="425"/>
      <c r="C69" s="181" t="s">
        <v>279</v>
      </c>
      <c r="D69" s="199">
        <v>2</v>
      </c>
    </row>
    <row r="70" spans="1:4" s="73" customFormat="1" ht="15" customHeight="1">
      <c r="A70" s="401" t="s">
        <v>993</v>
      </c>
      <c r="B70" s="402"/>
      <c r="C70" s="72" t="s">
        <v>390</v>
      </c>
      <c r="D70" s="72">
        <v>2</v>
      </c>
    </row>
    <row r="71" spans="1:4" s="73" customFormat="1" ht="15" customHeight="1">
      <c r="A71" s="401" t="s">
        <v>994</v>
      </c>
      <c r="B71" s="402"/>
      <c r="C71" s="72" t="s">
        <v>447</v>
      </c>
      <c r="D71" s="72">
        <f>8+8</f>
        <v>16</v>
      </c>
    </row>
    <row r="72" spans="1:4" ht="15">
      <c r="A72" s="402" t="s">
        <v>995</v>
      </c>
      <c r="B72" s="413"/>
      <c r="C72" s="72" t="s">
        <v>328</v>
      </c>
      <c r="D72" s="72">
        <v>8</v>
      </c>
    </row>
    <row r="73" spans="1:4" ht="15">
      <c r="A73" s="402" t="s">
        <v>996</v>
      </c>
      <c r="B73" s="413"/>
      <c r="C73" s="72" t="s">
        <v>360</v>
      </c>
      <c r="D73" s="72">
        <v>2</v>
      </c>
    </row>
    <row r="74" spans="1:4" ht="15">
      <c r="A74" s="229" t="s">
        <v>997</v>
      </c>
      <c r="B74" s="231"/>
      <c r="C74" s="72" t="s">
        <v>328</v>
      </c>
      <c r="D74" s="72">
        <v>8</v>
      </c>
    </row>
    <row r="75" spans="1:4" ht="30">
      <c r="A75" s="402" t="s">
        <v>998</v>
      </c>
      <c r="B75" s="413"/>
      <c r="C75" s="105" t="s">
        <v>990</v>
      </c>
      <c r="D75" s="72">
        <f>2+2+2+2+2</f>
        <v>10</v>
      </c>
    </row>
    <row r="76" spans="1:4" s="73" customFormat="1" ht="15">
      <c r="A76" s="424" t="s">
        <v>999</v>
      </c>
      <c r="B76" s="425"/>
      <c r="C76" s="72" t="s">
        <v>342</v>
      </c>
      <c r="D76" s="72">
        <v>1</v>
      </c>
    </row>
    <row r="77" spans="1:4" s="73" customFormat="1" ht="30.75" customHeight="1">
      <c r="A77" s="401" t="s">
        <v>1003</v>
      </c>
      <c r="B77" s="402"/>
      <c r="C77" s="105" t="s">
        <v>1004</v>
      </c>
      <c r="D77" s="72">
        <v>1.5</v>
      </c>
    </row>
    <row r="78" spans="1:4" s="73" customFormat="1" ht="31.5" customHeight="1">
      <c r="A78" s="402" t="s">
        <v>1005</v>
      </c>
      <c r="B78" s="413"/>
      <c r="C78" s="72" t="s">
        <v>1006</v>
      </c>
      <c r="D78" s="72">
        <v>12</v>
      </c>
    </row>
    <row r="79" spans="1:4" s="73" customFormat="1" ht="28.5" customHeight="1">
      <c r="A79" s="401" t="s">
        <v>1007</v>
      </c>
      <c r="B79" s="402"/>
      <c r="C79" s="105" t="s">
        <v>1008</v>
      </c>
      <c r="D79" s="72">
        <f>3*3</f>
        <v>9</v>
      </c>
    </row>
    <row r="80" spans="1:4" s="73" customFormat="1" ht="18.75" customHeight="1">
      <c r="A80" s="402" t="s">
        <v>1009</v>
      </c>
      <c r="B80" s="413"/>
      <c r="C80" s="72" t="s">
        <v>1010</v>
      </c>
      <c r="D80" s="72">
        <v>2</v>
      </c>
    </row>
    <row r="81" spans="1:4" ht="15">
      <c r="A81" s="402" t="s">
        <v>1011</v>
      </c>
      <c r="B81" s="413"/>
      <c r="C81" s="72" t="s">
        <v>577</v>
      </c>
      <c r="D81" s="72">
        <v>2</v>
      </c>
    </row>
    <row r="82" spans="1:4" s="73" customFormat="1" ht="15.75" customHeight="1">
      <c r="A82" s="424" t="s">
        <v>596</v>
      </c>
      <c r="B82" s="425"/>
      <c r="C82" s="72" t="s">
        <v>400</v>
      </c>
      <c r="D82" s="72">
        <v>1.5</v>
      </c>
    </row>
    <row r="83" spans="1:4" s="73" customFormat="1" ht="15.75" customHeight="1">
      <c r="A83" s="228" t="s">
        <v>619</v>
      </c>
      <c r="B83" s="116"/>
      <c r="C83" s="72" t="s">
        <v>463</v>
      </c>
      <c r="D83" s="72">
        <v>4</v>
      </c>
    </row>
    <row r="84" spans="1:4" s="73" customFormat="1" ht="15.75" customHeight="1">
      <c r="A84" s="228" t="s">
        <v>621</v>
      </c>
      <c r="B84" s="116"/>
      <c r="C84" s="72" t="s">
        <v>463</v>
      </c>
      <c r="D84" s="72">
        <v>4</v>
      </c>
    </row>
    <row r="85" spans="1:4" s="73" customFormat="1" ht="19.5" customHeight="1">
      <c r="A85" s="401" t="s">
        <v>670</v>
      </c>
      <c r="B85" s="402"/>
      <c r="C85" s="105" t="s">
        <v>347</v>
      </c>
      <c r="D85" s="72">
        <v>2</v>
      </c>
    </row>
    <row r="86" spans="1:4" s="73" customFormat="1" ht="15" customHeight="1">
      <c r="A86" s="401" t="s">
        <v>675</v>
      </c>
      <c r="B86" s="402"/>
      <c r="C86" s="72" t="s">
        <v>447</v>
      </c>
      <c r="D86" s="72">
        <v>2</v>
      </c>
    </row>
    <row r="87" spans="1:4" s="73" customFormat="1" ht="15">
      <c r="A87" s="402" t="s">
        <v>756</v>
      </c>
      <c r="B87" s="413"/>
      <c r="C87" s="72" t="s">
        <v>757</v>
      </c>
      <c r="D87" s="72">
        <v>6</v>
      </c>
    </row>
    <row r="88" spans="1:4" s="73" customFormat="1" ht="19.5" customHeight="1">
      <c r="A88" s="401" t="s">
        <v>1014</v>
      </c>
      <c r="B88" s="402"/>
      <c r="C88" s="105" t="s">
        <v>1015</v>
      </c>
      <c r="D88" s="72">
        <v>6</v>
      </c>
    </row>
    <row r="89" spans="1:4" s="73" customFormat="1" ht="15" customHeight="1">
      <c r="A89" s="401" t="s">
        <v>1016</v>
      </c>
      <c r="B89" s="402"/>
      <c r="C89" s="72" t="s">
        <v>1017</v>
      </c>
      <c r="D89" s="72">
        <v>6</v>
      </c>
    </row>
    <row r="90" spans="1:4" s="73" customFormat="1" ht="18.75" customHeight="1">
      <c r="A90" s="401" t="s">
        <v>895</v>
      </c>
      <c r="B90" s="402"/>
      <c r="C90" s="105" t="s">
        <v>896</v>
      </c>
      <c r="D90" s="72">
        <v>2</v>
      </c>
    </row>
    <row r="91" spans="1:4" s="73" customFormat="1" ht="18.75" customHeight="1">
      <c r="A91" s="401" t="s">
        <v>1021</v>
      </c>
      <c r="B91" s="402"/>
      <c r="C91" s="105" t="s">
        <v>678</v>
      </c>
      <c r="D91" s="72">
        <v>4</v>
      </c>
    </row>
    <row r="92" spans="1:4" s="73" customFormat="1" ht="15">
      <c r="A92" s="402" t="s">
        <v>907</v>
      </c>
      <c r="B92" s="413"/>
      <c r="C92" s="72" t="s">
        <v>908</v>
      </c>
      <c r="D92" s="72">
        <v>1.7</v>
      </c>
    </row>
    <row r="93" spans="1:4" s="73" customFormat="1" ht="32.25" customHeight="1">
      <c r="A93" s="424" t="s">
        <v>1022</v>
      </c>
      <c r="B93" s="425"/>
      <c r="C93" s="72" t="s">
        <v>613</v>
      </c>
      <c r="D93" s="72">
        <v>2</v>
      </c>
    </row>
    <row r="94" spans="1:4" s="73" customFormat="1" ht="15">
      <c r="A94" s="402" t="s">
        <v>909</v>
      </c>
      <c r="B94" s="413"/>
      <c r="C94" s="72" t="s">
        <v>910</v>
      </c>
      <c r="D94" s="72">
        <v>1.5</v>
      </c>
    </row>
    <row r="95" spans="1:4" s="73" customFormat="1" ht="28.5" customHeight="1">
      <c r="A95" s="228" t="s">
        <v>1023</v>
      </c>
      <c r="B95" s="116"/>
      <c r="C95" s="72" t="s">
        <v>1024</v>
      </c>
      <c r="D95" s="72">
        <v>4</v>
      </c>
    </row>
    <row r="96" spans="1:4" s="73" customFormat="1" ht="15">
      <c r="A96" s="90" t="s">
        <v>958</v>
      </c>
      <c r="B96" s="91"/>
      <c r="C96" s="72" t="s">
        <v>279</v>
      </c>
      <c r="D96" s="72">
        <v>2</v>
      </c>
    </row>
    <row r="97" spans="1:4" s="73" customFormat="1" ht="15.75" customHeight="1">
      <c r="A97" s="439" t="s">
        <v>596</v>
      </c>
      <c r="B97" s="440"/>
      <c r="C97" s="77" t="s">
        <v>400</v>
      </c>
      <c r="D97" s="77">
        <v>1.5</v>
      </c>
    </row>
    <row r="98" spans="1:4" s="73" customFormat="1" ht="15.75" customHeight="1">
      <c r="A98" s="129" t="s">
        <v>619</v>
      </c>
      <c r="B98" s="71"/>
      <c r="C98" s="77" t="s">
        <v>463</v>
      </c>
      <c r="D98" s="77">
        <v>4</v>
      </c>
    </row>
    <row r="99" spans="1:4" s="73" customFormat="1" ht="15.75" customHeight="1" thickBot="1">
      <c r="A99" s="129" t="s">
        <v>621</v>
      </c>
      <c r="B99" s="71"/>
      <c r="C99" s="77" t="s">
        <v>463</v>
      </c>
      <c r="D99" s="77">
        <v>4</v>
      </c>
    </row>
    <row r="100" spans="1:4" ht="15.75" thickBot="1">
      <c r="A100" s="452" t="s">
        <v>99</v>
      </c>
      <c r="B100" s="378"/>
      <c r="C100" s="77"/>
      <c r="D100" s="77"/>
    </row>
    <row r="101" spans="1:4" ht="15.75" thickBot="1">
      <c r="A101" s="392" t="s">
        <v>100</v>
      </c>
      <c r="B101" s="393"/>
      <c r="C101" s="77"/>
      <c r="D101" s="77"/>
    </row>
    <row r="102" spans="1:4" ht="15.75" thickBot="1">
      <c r="A102" s="377" t="s">
        <v>101</v>
      </c>
      <c r="B102" s="378"/>
      <c r="C102" s="77"/>
      <c r="D102" s="77"/>
    </row>
    <row r="103" spans="1:4" ht="15.75" thickBot="1">
      <c r="A103" s="443" t="s">
        <v>102</v>
      </c>
      <c r="B103" s="375"/>
      <c r="C103" s="77"/>
      <c r="D103" s="77"/>
    </row>
    <row r="104" spans="1:4" ht="15">
      <c r="A104" s="90" t="s">
        <v>978</v>
      </c>
      <c r="B104" s="239"/>
      <c r="C104" s="72" t="s">
        <v>243</v>
      </c>
      <c r="D104" s="72">
        <f>1.5*130+175</f>
        <v>370</v>
      </c>
    </row>
    <row r="105" spans="1:4" s="73" customFormat="1" ht="15">
      <c r="A105" s="228" t="s">
        <v>1000</v>
      </c>
      <c r="B105" s="116"/>
      <c r="C105" s="72" t="s">
        <v>243</v>
      </c>
      <c r="D105" s="72">
        <v>2</v>
      </c>
    </row>
    <row r="106" spans="1:4" s="73" customFormat="1" ht="15">
      <c r="A106" s="228" t="s">
        <v>478</v>
      </c>
      <c r="B106" s="240"/>
      <c r="C106" s="72" t="s">
        <v>243</v>
      </c>
      <c r="D106" s="72">
        <v>0.5</v>
      </c>
    </row>
    <row r="107" spans="1:4" s="73" customFormat="1" ht="18.75" customHeight="1">
      <c r="A107" s="90" t="s">
        <v>1012</v>
      </c>
      <c r="B107" s="91"/>
      <c r="C107" s="72" t="s">
        <v>243</v>
      </c>
      <c r="D107" s="72">
        <v>3</v>
      </c>
    </row>
    <row r="108" spans="1:4" s="73" customFormat="1" ht="18.75" customHeight="1">
      <c r="A108" s="90" t="s">
        <v>653</v>
      </c>
      <c r="B108" s="91"/>
      <c r="C108" s="72" t="s">
        <v>243</v>
      </c>
      <c r="D108" s="72">
        <v>1.5</v>
      </c>
    </row>
    <row r="109" spans="1:4" s="73" customFormat="1" ht="18.75" customHeight="1">
      <c r="A109" s="90" t="s">
        <v>1018</v>
      </c>
      <c r="B109" s="91"/>
      <c r="C109" s="72" t="s">
        <v>243</v>
      </c>
      <c r="D109" s="72">
        <v>2</v>
      </c>
    </row>
    <row r="110" spans="1:4" s="73" customFormat="1" ht="15">
      <c r="A110" s="228" t="s">
        <v>1025</v>
      </c>
      <c r="B110" s="240"/>
      <c r="C110" s="72" t="s">
        <v>243</v>
      </c>
      <c r="D110" s="72">
        <v>1.5</v>
      </c>
    </row>
    <row r="111" spans="1:4" s="73" customFormat="1" ht="15">
      <c r="A111" s="246" t="s">
        <v>1431</v>
      </c>
      <c r="B111" s="251"/>
      <c r="C111" s="72" t="s">
        <v>243</v>
      </c>
      <c r="D111" s="72">
        <v>0.5</v>
      </c>
    </row>
    <row r="112" spans="1:4" ht="15">
      <c r="A112" s="395" t="s">
        <v>103</v>
      </c>
      <c r="B112" s="396"/>
      <c r="C112" s="77"/>
      <c r="D112" s="77"/>
    </row>
    <row r="113" spans="1:4" s="73" customFormat="1" ht="15">
      <c r="A113" s="129" t="s">
        <v>478</v>
      </c>
      <c r="B113" s="124"/>
      <c r="C113" s="77" t="s">
        <v>243</v>
      </c>
      <c r="D113" s="77">
        <v>0.5</v>
      </c>
    </row>
    <row r="114" spans="1:4" s="94" customFormat="1" ht="15.75" thickBot="1">
      <c r="A114" s="129"/>
      <c r="B114" s="124"/>
      <c r="C114" s="77"/>
      <c r="D114" s="77"/>
    </row>
    <row r="115" spans="1:4" ht="15.75" thickBot="1">
      <c r="A115" s="453" t="s">
        <v>104</v>
      </c>
      <c r="B115" s="398"/>
      <c r="C115" s="77"/>
      <c r="D115" s="77"/>
    </row>
    <row r="116" spans="1:4" ht="15">
      <c r="A116" s="79"/>
      <c r="B116" s="79"/>
      <c r="C116" s="76"/>
      <c r="D116" s="76"/>
    </row>
    <row r="117" spans="1:4" ht="15.75">
      <c r="A117" s="394" t="s">
        <v>233</v>
      </c>
      <c r="B117" s="394"/>
      <c r="C117" s="394"/>
      <c r="D117" s="394"/>
    </row>
    <row r="118" spans="1:4" ht="15">
      <c r="A118" s="76"/>
      <c r="B118" s="76"/>
      <c r="C118" s="76"/>
      <c r="D118" s="76"/>
    </row>
    <row r="119" spans="1:4" ht="15.75">
      <c r="A119" s="394" t="s">
        <v>234</v>
      </c>
      <c r="B119" s="394"/>
      <c r="C119" s="394"/>
      <c r="D119" s="394"/>
    </row>
    <row r="125" ht="15">
      <c r="A125" t="s">
        <v>970</v>
      </c>
    </row>
  </sheetData>
  <sheetProtection/>
  <mergeCells count="63">
    <mergeCell ref="A93:B93"/>
    <mergeCell ref="A94:B94"/>
    <mergeCell ref="A22:B22"/>
    <mergeCell ref="A23:B23"/>
    <mergeCell ref="A24:B24"/>
    <mergeCell ref="A81:B81"/>
    <mergeCell ref="A82:B82"/>
    <mergeCell ref="A44:B44"/>
    <mergeCell ref="A77:B77"/>
    <mergeCell ref="A78:B78"/>
    <mergeCell ref="A85:B85"/>
    <mergeCell ref="A79:B79"/>
    <mergeCell ref="A80:B80"/>
    <mergeCell ref="A76:B76"/>
    <mergeCell ref="A69:B69"/>
    <mergeCell ref="A75:B75"/>
    <mergeCell ref="A117:D117"/>
    <mergeCell ref="A119:D119"/>
    <mergeCell ref="A86:B86"/>
    <mergeCell ref="A87:B87"/>
    <mergeCell ref="A97:B97"/>
    <mergeCell ref="A100:B100"/>
    <mergeCell ref="A101:B101"/>
    <mergeCell ref="A102:B102"/>
    <mergeCell ref="A103:B103"/>
    <mergeCell ref="A112:B112"/>
    <mergeCell ref="A115:B115"/>
    <mergeCell ref="A90:B90"/>
    <mergeCell ref="A91:B91"/>
    <mergeCell ref="A88:B88"/>
    <mergeCell ref="A89:B89"/>
    <mergeCell ref="A92:B92"/>
    <mergeCell ref="A68:B68"/>
    <mergeCell ref="A41:B41"/>
    <mergeCell ref="A70:B70"/>
    <mergeCell ref="A13:B13"/>
    <mergeCell ref="A1:D1"/>
    <mergeCell ref="A2:D2"/>
    <mergeCell ref="A3:D3"/>
    <mergeCell ref="A5:B5"/>
    <mergeCell ref="A6:B6"/>
    <mergeCell ref="A7:B7"/>
    <mergeCell ref="A8:B8"/>
    <mergeCell ref="A9:B9"/>
    <mergeCell ref="A10:B10"/>
    <mergeCell ref="A11:B11"/>
    <mergeCell ref="A12:B12"/>
    <mergeCell ref="A71:B71"/>
    <mergeCell ref="A72:B72"/>
    <mergeCell ref="A73:B73"/>
    <mergeCell ref="A14:B14"/>
    <mergeCell ref="A15:B15"/>
    <mergeCell ref="A17:B17"/>
    <mergeCell ref="A25:B25"/>
    <mergeCell ref="A27:B27"/>
    <mergeCell ref="A28:B28"/>
    <mergeCell ref="A29:B29"/>
    <mergeCell ref="A19:B19"/>
    <mergeCell ref="A26:B26"/>
    <mergeCell ref="A20:B20"/>
    <mergeCell ref="A21:B21"/>
    <mergeCell ref="A53:B53"/>
    <mergeCell ref="A42:B42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2"/>
  <sheetViews>
    <sheetView zoomScalePageLayoutView="0" workbookViewId="0" topLeftCell="A1">
      <selection activeCell="A119" sqref="A119"/>
    </sheetView>
  </sheetViews>
  <sheetFormatPr defaultColWidth="9.140625" defaultRowHeight="15"/>
  <cols>
    <col min="1" max="1" width="80.8515625" style="0" customWidth="1"/>
    <col min="2" max="2" width="3.28125" style="0" hidden="1" customWidth="1"/>
    <col min="3" max="3" width="32.00390625" style="0" customWidth="1"/>
  </cols>
  <sheetData>
    <row r="1" spans="1:4" ht="15.75">
      <c r="A1" s="381" t="s">
        <v>959</v>
      </c>
      <c r="B1" s="381"/>
      <c r="C1" s="381"/>
      <c r="D1" s="381"/>
    </row>
    <row r="2" spans="1:4" ht="15.75">
      <c r="A2" s="382" t="s">
        <v>262</v>
      </c>
      <c r="B2" s="382"/>
      <c r="C2" s="382"/>
      <c r="D2" s="382"/>
    </row>
    <row r="3" spans="1:4" s="55" customFormat="1" ht="15.75">
      <c r="A3" s="382" t="s">
        <v>1034</v>
      </c>
      <c r="B3" s="382"/>
      <c r="C3" s="382"/>
      <c r="D3" s="382"/>
    </row>
    <row r="4" spans="1:4" s="55" customFormat="1" ht="15.75">
      <c r="A4" s="211"/>
      <c r="B4" s="211"/>
      <c r="C4" s="89"/>
      <c r="D4" s="89"/>
    </row>
    <row r="5" spans="1:4" ht="30">
      <c r="A5" s="383" t="s">
        <v>229</v>
      </c>
      <c r="B5" s="384"/>
      <c r="C5" s="86" t="s">
        <v>231</v>
      </c>
      <c r="D5" s="85" t="s">
        <v>530</v>
      </c>
    </row>
    <row r="6" spans="1:4" ht="15">
      <c r="A6" s="383" t="s">
        <v>229</v>
      </c>
      <c r="B6" s="384"/>
      <c r="C6" s="73"/>
      <c r="D6" s="73"/>
    </row>
    <row r="7" spans="1:4" ht="15.75" thickBot="1">
      <c r="A7" s="457" t="s">
        <v>0</v>
      </c>
      <c r="B7" s="458"/>
      <c r="C7" s="73"/>
      <c r="D7" s="73"/>
    </row>
    <row r="8" spans="1:4" ht="15">
      <c r="A8" s="399" t="s">
        <v>24</v>
      </c>
      <c r="B8" s="400"/>
      <c r="C8" s="72"/>
      <c r="D8" s="72"/>
    </row>
    <row r="9" spans="1:4" ht="15">
      <c r="A9" s="399" t="s">
        <v>891</v>
      </c>
      <c r="B9" s="400"/>
      <c r="C9" s="72"/>
      <c r="D9" s="72"/>
    </row>
    <row r="10" spans="1:4" ht="15.75" thickBot="1">
      <c r="A10" s="459" t="s">
        <v>28</v>
      </c>
      <c r="B10" s="460"/>
      <c r="C10" s="72"/>
      <c r="D10" s="72"/>
    </row>
    <row r="11" spans="1:4" ht="15.75" thickBot="1">
      <c r="A11" s="411" t="s">
        <v>29</v>
      </c>
      <c r="B11" s="412"/>
      <c r="C11" s="72"/>
      <c r="D11" s="72"/>
    </row>
    <row r="12" spans="1:4" ht="15">
      <c r="A12" s="409" t="s">
        <v>45</v>
      </c>
      <c r="B12" s="410"/>
      <c r="C12" s="72"/>
      <c r="D12" s="72"/>
    </row>
    <row r="13" spans="1:4" ht="15.75" thickBot="1">
      <c r="A13" s="455" t="s">
        <v>55</v>
      </c>
      <c r="B13" s="456"/>
      <c r="C13" s="72"/>
      <c r="D13" s="72"/>
    </row>
    <row r="14" spans="1:4" ht="15.75" thickBot="1">
      <c r="A14" s="416" t="s">
        <v>56</v>
      </c>
      <c r="B14" s="417"/>
      <c r="C14" s="72"/>
      <c r="D14" s="72"/>
    </row>
    <row r="15" spans="1:4" ht="15.75" thickBot="1">
      <c r="A15" s="411" t="s">
        <v>57</v>
      </c>
      <c r="B15" s="412"/>
      <c r="C15" s="72"/>
      <c r="D15" s="72"/>
    </row>
    <row r="16" spans="1:4" ht="15.75" thickBot="1">
      <c r="A16" s="191" t="s">
        <v>969</v>
      </c>
      <c r="B16" s="192"/>
      <c r="C16" s="72" t="s">
        <v>370</v>
      </c>
      <c r="D16" s="72">
        <f>130+175</f>
        <v>305</v>
      </c>
    </row>
    <row r="17" spans="1:4" ht="15.75" thickBot="1">
      <c r="A17" s="257" t="s">
        <v>1036</v>
      </c>
      <c r="B17" s="230"/>
      <c r="C17" s="72" t="s">
        <v>279</v>
      </c>
      <c r="D17" s="72">
        <f>350+130*4</f>
        <v>870</v>
      </c>
    </row>
    <row r="18" spans="1:4" s="73" customFormat="1" ht="15">
      <c r="A18" s="399" t="s">
        <v>1052</v>
      </c>
      <c r="B18" s="400"/>
      <c r="C18" s="72" t="s">
        <v>328</v>
      </c>
      <c r="D18" s="72">
        <v>3</v>
      </c>
    </row>
    <row r="19" spans="1:4" s="73" customFormat="1" ht="15" customHeight="1">
      <c r="A19" s="399" t="s">
        <v>1053</v>
      </c>
      <c r="B19" s="400"/>
      <c r="C19" s="72" t="s">
        <v>390</v>
      </c>
      <c r="D19" s="72">
        <v>1</v>
      </c>
    </row>
    <row r="20" spans="1:4" ht="15">
      <c r="A20" s="399" t="s">
        <v>563</v>
      </c>
      <c r="B20" s="400"/>
      <c r="C20" s="72" t="s">
        <v>279</v>
      </c>
      <c r="D20" s="72">
        <v>0.25</v>
      </c>
    </row>
    <row r="21" spans="1:4" s="73" customFormat="1" ht="15.75" thickBot="1">
      <c r="A21" s="399" t="s">
        <v>1071</v>
      </c>
      <c r="B21" s="400"/>
      <c r="C21" s="72" t="s">
        <v>950</v>
      </c>
      <c r="D21" s="72">
        <v>15</v>
      </c>
    </row>
    <row r="22" spans="1:4" ht="15.75" thickBot="1">
      <c r="A22" s="461" t="s">
        <v>64</v>
      </c>
      <c r="B22" s="416"/>
      <c r="C22" s="72"/>
      <c r="D22" s="72"/>
    </row>
    <row r="23" spans="1:4" ht="15">
      <c r="A23" s="462" t="s">
        <v>66</v>
      </c>
      <c r="B23" s="463"/>
      <c r="C23" s="72"/>
      <c r="D23" s="72"/>
    </row>
    <row r="24" spans="1:4" ht="15" customHeight="1">
      <c r="A24" s="87" t="s">
        <v>343</v>
      </c>
      <c r="B24" s="88"/>
      <c r="C24" s="72" t="s">
        <v>369</v>
      </c>
      <c r="D24" s="72">
        <f>0.5+0.5</f>
        <v>1</v>
      </c>
    </row>
    <row r="25" spans="1:4" ht="15" customHeight="1">
      <c r="A25" s="87" t="s">
        <v>1046</v>
      </c>
      <c r="B25" s="88"/>
      <c r="C25" s="72" t="s">
        <v>370</v>
      </c>
      <c r="D25" s="72">
        <f>4</f>
        <v>4</v>
      </c>
    </row>
    <row r="26" spans="1:4" s="73" customFormat="1" ht="15" customHeight="1">
      <c r="A26" s="87" t="s">
        <v>1054</v>
      </c>
      <c r="B26" s="88"/>
      <c r="C26" s="72" t="s">
        <v>342</v>
      </c>
      <c r="D26" s="72">
        <v>2</v>
      </c>
    </row>
    <row r="27" spans="1:4" s="73" customFormat="1" ht="15" customHeight="1">
      <c r="A27" s="87" t="s">
        <v>1055</v>
      </c>
      <c r="B27" s="88"/>
      <c r="C27" s="72" t="s">
        <v>390</v>
      </c>
      <c r="D27" s="72">
        <f>4+1</f>
        <v>5</v>
      </c>
    </row>
    <row r="28" spans="1:4" ht="15">
      <c r="A28" s="87" t="s">
        <v>1060</v>
      </c>
      <c r="B28" s="88"/>
      <c r="C28" s="72" t="s">
        <v>431</v>
      </c>
      <c r="D28" s="72">
        <v>2</v>
      </c>
    </row>
    <row r="29" spans="1:4" s="73" customFormat="1" ht="15">
      <c r="A29" s="87" t="s">
        <v>456</v>
      </c>
      <c r="B29" s="93"/>
      <c r="C29" s="72" t="s">
        <v>370</v>
      </c>
      <c r="D29" s="72">
        <v>0.4</v>
      </c>
    </row>
    <row r="30" spans="1:4" ht="15">
      <c r="A30" s="420" t="s">
        <v>90</v>
      </c>
      <c r="B30" s="418"/>
      <c r="C30" s="72"/>
      <c r="D30" s="72"/>
    </row>
    <row r="31" spans="1:5" s="73" customFormat="1" ht="27" customHeight="1">
      <c r="A31" s="161" t="s">
        <v>1030</v>
      </c>
      <c r="B31" s="116"/>
      <c r="C31" s="255" t="s">
        <v>384</v>
      </c>
      <c r="D31" s="162">
        <f>3*3*130</f>
        <v>1170</v>
      </c>
      <c r="E31" s="73">
        <v>9</v>
      </c>
    </row>
    <row r="32" spans="1:5" ht="15">
      <c r="A32" s="228" t="s">
        <v>1031</v>
      </c>
      <c r="B32" s="116"/>
      <c r="C32" s="72" t="s">
        <v>1026</v>
      </c>
      <c r="D32" s="72">
        <f>1*130*2+175</f>
        <v>435</v>
      </c>
      <c r="E32">
        <v>2</v>
      </c>
    </row>
    <row r="33" spans="1:5" ht="15">
      <c r="A33" s="181" t="s">
        <v>1032</v>
      </c>
      <c r="B33" s="181"/>
      <c r="C33" s="181" t="s">
        <v>342</v>
      </c>
      <c r="D33" s="181">
        <f>2.5*130+175</f>
        <v>500</v>
      </c>
      <c r="E33">
        <v>2.5</v>
      </c>
    </row>
    <row r="34" spans="1:5" s="73" customFormat="1" ht="30">
      <c r="A34" s="172" t="s">
        <v>1033</v>
      </c>
      <c r="B34" s="116"/>
      <c r="C34" s="256" t="s">
        <v>1027</v>
      </c>
      <c r="D34" s="183">
        <f>4*130*2+175</f>
        <v>1215</v>
      </c>
      <c r="E34" s="73">
        <v>8</v>
      </c>
    </row>
    <row r="35" spans="1:4" s="73" customFormat="1" ht="15">
      <c r="A35" s="193" t="s">
        <v>1037</v>
      </c>
      <c r="B35" s="238"/>
      <c r="C35" s="72" t="s">
        <v>342</v>
      </c>
      <c r="D35" s="72">
        <f>175+3*130</f>
        <v>565</v>
      </c>
    </row>
    <row r="36" spans="1:4" s="73" customFormat="1" ht="15">
      <c r="A36" s="193" t="s">
        <v>1038</v>
      </c>
      <c r="B36" s="238"/>
      <c r="C36" s="72" t="s">
        <v>279</v>
      </c>
      <c r="D36" s="72">
        <f>1.5*130+175</f>
        <v>370</v>
      </c>
    </row>
    <row r="37" spans="1:4" s="73" customFormat="1" ht="15">
      <c r="A37" s="193" t="s">
        <v>1039</v>
      </c>
      <c r="B37" s="238"/>
      <c r="C37" s="72" t="s">
        <v>823</v>
      </c>
      <c r="D37" s="72">
        <f>350+130*2*2</f>
        <v>870</v>
      </c>
    </row>
    <row r="38" spans="1:4" ht="30">
      <c r="A38" s="252" t="s">
        <v>974</v>
      </c>
      <c r="B38" s="253"/>
      <c r="C38" s="105" t="s">
        <v>1040</v>
      </c>
      <c r="D38" s="72">
        <f>175+130*1.75*2+130+130*2.5</f>
        <v>1085</v>
      </c>
    </row>
    <row r="39" spans="1:4" ht="15">
      <c r="A39" s="258" t="s">
        <v>1041</v>
      </c>
      <c r="B39" s="259"/>
      <c r="C39" s="72" t="s">
        <v>499</v>
      </c>
      <c r="D39" s="72">
        <f>2.5*130*2+175</f>
        <v>825</v>
      </c>
    </row>
    <row r="40" spans="1:4" ht="15">
      <c r="A40" s="252" t="s">
        <v>822</v>
      </c>
      <c r="B40" s="253"/>
      <c r="C40" s="72" t="s">
        <v>279</v>
      </c>
      <c r="D40" s="72">
        <f>130*0.5</f>
        <v>65</v>
      </c>
    </row>
    <row r="41" spans="1:4" ht="15">
      <c r="A41" s="90" t="s">
        <v>821</v>
      </c>
      <c r="B41" s="232"/>
      <c r="C41" s="72" t="s">
        <v>279</v>
      </c>
      <c r="D41" s="72">
        <v>240</v>
      </c>
    </row>
    <row r="42" spans="1:4" ht="15">
      <c r="A42" s="260" t="s">
        <v>1042</v>
      </c>
      <c r="B42" s="261"/>
      <c r="C42" s="105" t="s">
        <v>1043</v>
      </c>
      <c r="D42" s="72">
        <f>175+8*130*3</f>
        <v>3295</v>
      </c>
    </row>
    <row r="43" spans="1:4" ht="15">
      <c r="A43" s="217" t="s">
        <v>352</v>
      </c>
      <c r="B43" s="218"/>
      <c r="C43" s="72" t="s">
        <v>342</v>
      </c>
      <c r="D43" s="72">
        <v>1</v>
      </c>
    </row>
    <row r="44" spans="1:4" s="94" customFormat="1" ht="15">
      <c r="A44" s="229" t="s">
        <v>977</v>
      </c>
      <c r="B44" s="231"/>
      <c r="C44" s="72" t="s">
        <v>817</v>
      </c>
      <c r="D44" s="72">
        <f>130*0.5*2+175</f>
        <v>305</v>
      </c>
    </row>
    <row r="45" spans="1:4" ht="15" customHeight="1">
      <c r="A45" s="401" t="s">
        <v>979</v>
      </c>
      <c r="B45" s="402"/>
      <c r="C45" s="72" t="s">
        <v>279</v>
      </c>
      <c r="D45" s="72">
        <v>0.5</v>
      </c>
    </row>
    <row r="46" spans="1:4" ht="15" customHeight="1">
      <c r="A46" s="402" t="s">
        <v>94</v>
      </c>
      <c r="B46" s="413"/>
      <c r="C46" s="72"/>
      <c r="D46" s="72"/>
    </row>
    <row r="47" spans="1:4" ht="15">
      <c r="A47" s="402" t="s">
        <v>96</v>
      </c>
      <c r="B47" s="413"/>
      <c r="C47" s="72"/>
      <c r="D47" s="72"/>
    </row>
    <row r="48" spans="1:4" ht="15.75" customHeight="1">
      <c r="A48" s="424" t="s">
        <v>1047</v>
      </c>
      <c r="B48" s="425"/>
      <c r="C48" s="72" t="s">
        <v>1048</v>
      </c>
      <c r="D48" s="72">
        <f>2.5+4</f>
        <v>6.5</v>
      </c>
    </row>
    <row r="49" spans="1:4" ht="15.75" thickBot="1">
      <c r="A49" s="217" t="s">
        <v>352</v>
      </c>
      <c r="B49" s="218"/>
      <c r="C49" s="72" t="s">
        <v>342</v>
      </c>
      <c r="D49" s="72">
        <v>1</v>
      </c>
    </row>
    <row r="50" spans="1:4" ht="15.75" thickBot="1">
      <c r="A50" s="406" t="s">
        <v>1049</v>
      </c>
      <c r="B50" s="454"/>
      <c r="C50" s="72" t="s">
        <v>387</v>
      </c>
      <c r="D50" s="72">
        <f>8+8+2+2</f>
        <v>20</v>
      </c>
    </row>
    <row r="51" spans="1:4" s="73" customFormat="1" ht="15">
      <c r="A51" s="228" t="s">
        <v>1056</v>
      </c>
      <c r="B51" s="229"/>
      <c r="C51" s="72" t="s">
        <v>390</v>
      </c>
      <c r="D51" s="72">
        <v>1</v>
      </c>
    </row>
    <row r="52" spans="1:4" ht="28.5" customHeight="1">
      <c r="A52" s="401" t="s">
        <v>1057</v>
      </c>
      <c r="B52" s="402"/>
      <c r="C52" s="105" t="s">
        <v>1058</v>
      </c>
      <c r="D52" s="72">
        <f>1.5+1.5+1.5</f>
        <v>4.5</v>
      </c>
    </row>
    <row r="53" spans="1:4" s="73" customFormat="1" ht="15" customHeight="1">
      <c r="A53" s="401" t="s">
        <v>1061</v>
      </c>
      <c r="B53" s="402"/>
      <c r="C53" s="72" t="s">
        <v>1062</v>
      </c>
      <c r="D53" s="72">
        <v>2</v>
      </c>
    </row>
    <row r="54" spans="1:4" ht="15" customHeight="1">
      <c r="A54" s="402" t="s">
        <v>94</v>
      </c>
      <c r="B54" s="413"/>
      <c r="C54" s="72"/>
      <c r="D54" s="72"/>
    </row>
    <row r="55" spans="1:4" ht="15">
      <c r="A55" s="402" t="s">
        <v>96</v>
      </c>
      <c r="B55" s="413"/>
      <c r="C55" s="72"/>
      <c r="D55" s="72"/>
    </row>
    <row r="56" spans="1:4" s="73" customFormat="1" ht="29.25" customHeight="1">
      <c r="A56" s="401" t="s">
        <v>1064</v>
      </c>
      <c r="B56" s="402"/>
      <c r="C56" s="72" t="s">
        <v>577</v>
      </c>
      <c r="D56" s="72">
        <v>3</v>
      </c>
    </row>
    <row r="57" spans="1:4" s="73" customFormat="1" ht="17.25" customHeight="1">
      <c r="A57" s="401" t="s">
        <v>875</v>
      </c>
      <c r="B57" s="402"/>
      <c r="C57" s="105" t="s">
        <v>499</v>
      </c>
      <c r="D57" s="72">
        <v>4</v>
      </c>
    </row>
    <row r="58" spans="1:4" s="73" customFormat="1" ht="15">
      <c r="A58" s="402" t="s">
        <v>1065</v>
      </c>
      <c r="B58" s="413"/>
      <c r="C58" s="72" t="s">
        <v>447</v>
      </c>
      <c r="D58" s="72">
        <v>3</v>
      </c>
    </row>
    <row r="59" spans="1:4" s="73" customFormat="1" ht="30.75" customHeight="1">
      <c r="A59" s="424" t="s">
        <v>1066</v>
      </c>
      <c r="B59" s="425"/>
      <c r="C59" s="72" t="s">
        <v>463</v>
      </c>
      <c r="D59" s="72">
        <v>4</v>
      </c>
    </row>
    <row r="60" spans="1:4" s="73" customFormat="1" ht="15.75" customHeight="1">
      <c r="A60" s="228" t="s">
        <v>1067</v>
      </c>
      <c r="B60" s="116"/>
      <c r="C60" s="72" t="s">
        <v>1068</v>
      </c>
      <c r="D60" s="72">
        <v>4</v>
      </c>
    </row>
    <row r="61" spans="1:4" s="73" customFormat="1" ht="15.75" customHeight="1">
      <c r="A61" s="228" t="s">
        <v>1069</v>
      </c>
      <c r="B61" s="116"/>
      <c r="C61" s="72" t="s">
        <v>1068</v>
      </c>
      <c r="D61" s="72">
        <v>2</v>
      </c>
    </row>
    <row r="62" spans="1:4" s="73" customFormat="1" ht="21" customHeight="1">
      <c r="A62" s="401" t="s">
        <v>650</v>
      </c>
      <c r="B62" s="402"/>
      <c r="C62" s="72" t="s">
        <v>400</v>
      </c>
      <c r="D62" s="72">
        <v>1.5</v>
      </c>
    </row>
    <row r="63" spans="1:4" s="73" customFormat="1" ht="15" customHeight="1">
      <c r="A63" s="401" t="s">
        <v>675</v>
      </c>
      <c r="B63" s="402"/>
      <c r="C63" s="72" t="s">
        <v>447</v>
      </c>
      <c r="D63" s="72">
        <v>2</v>
      </c>
    </row>
    <row r="64" spans="1:4" s="73" customFormat="1" ht="15">
      <c r="A64" s="402" t="s">
        <v>769</v>
      </c>
      <c r="B64" s="413"/>
      <c r="C64" s="72" t="s">
        <v>770</v>
      </c>
      <c r="D64" s="72">
        <v>6</v>
      </c>
    </row>
    <row r="65" spans="1:4" s="73" customFormat="1" ht="12.75" customHeight="1">
      <c r="A65" s="401" t="s">
        <v>1072</v>
      </c>
      <c r="B65" s="402"/>
      <c r="C65" s="72" t="s">
        <v>390</v>
      </c>
      <c r="D65" s="72">
        <v>2</v>
      </c>
    </row>
    <row r="66" spans="1:4" s="73" customFormat="1" ht="15" customHeight="1">
      <c r="A66" s="401" t="s">
        <v>1073</v>
      </c>
      <c r="B66" s="402"/>
      <c r="C66" s="72" t="s">
        <v>342</v>
      </c>
      <c r="D66" s="72">
        <v>2</v>
      </c>
    </row>
    <row r="67" spans="1:4" s="73" customFormat="1" ht="15">
      <c r="A67" s="402" t="s">
        <v>1074</v>
      </c>
      <c r="B67" s="413"/>
      <c r="C67" s="72" t="s">
        <v>592</v>
      </c>
      <c r="D67" s="72">
        <v>4</v>
      </c>
    </row>
    <row r="68" spans="1:4" s="73" customFormat="1" ht="17.25" customHeight="1">
      <c r="A68" s="424" t="s">
        <v>1075</v>
      </c>
      <c r="B68" s="425"/>
      <c r="C68" s="72" t="s">
        <v>1076</v>
      </c>
      <c r="D68" s="72">
        <v>3</v>
      </c>
    </row>
    <row r="69" spans="1:4" s="73" customFormat="1" ht="15.75" customHeight="1">
      <c r="A69" s="228" t="s">
        <v>1077</v>
      </c>
      <c r="B69" s="116"/>
      <c r="C69" s="72" t="s">
        <v>400</v>
      </c>
      <c r="D69" s="72">
        <v>1</v>
      </c>
    </row>
    <row r="70" spans="1:4" s="73" customFormat="1" ht="15.75" customHeight="1">
      <c r="A70" s="228" t="s">
        <v>1069</v>
      </c>
      <c r="B70" s="116"/>
      <c r="C70" s="72" t="s">
        <v>1068</v>
      </c>
      <c r="D70" s="72">
        <v>2</v>
      </c>
    </row>
    <row r="71" spans="1:4" s="73" customFormat="1" ht="12.75" customHeight="1">
      <c r="A71" s="401" t="s">
        <v>1079</v>
      </c>
      <c r="B71" s="402"/>
      <c r="C71" s="72" t="s">
        <v>947</v>
      </c>
      <c r="D71" s="72">
        <v>6</v>
      </c>
    </row>
    <row r="72" spans="1:4" s="73" customFormat="1" ht="27.75" customHeight="1">
      <c r="A72" s="401" t="s">
        <v>1080</v>
      </c>
      <c r="B72" s="402"/>
      <c r="C72" s="72" t="s">
        <v>790</v>
      </c>
      <c r="D72" s="72">
        <v>6</v>
      </c>
    </row>
    <row r="73" spans="1:4" s="73" customFormat="1" ht="34.5" customHeight="1">
      <c r="A73" s="401" t="s">
        <v>1081</v>
      </c>
      <c r="B73" s="402"/>
      <c r="C73" s="72" t="s">
        <v>378</v>
      </c>
      <c r="D73" s="72">
        <v>4</v>
      </c>
    </row>
    <row r="74" spans="1:4" s="94" customFormat="1" ht="34.5" customHeight="1">
      <c r="A74" s="429" t="s">
        <v>1082</v>
      </c>
      <c r="B74" s="430"/>
      <c r="C74" s="199" t="s">
        <v>1083</v>
      </c>
      <c r="D74" s="199">
        <v>1</v>
      </c>
    </row>
    <row r="75" spans="1:4" s="73" customFormat="1" ht="36" customHeight="1">
      <c r="A75" s="424" t="s">
        <v>1084</v>
      </c>
      <c r="B75" s="425"/>
      <c r="C75" s="72" t="s">
        <v>1085</v>
      </c>
      <c r="D75" s="72">
        <v>4</v>
      </c>
    </row>
    <row r="76" spans="1:5" s="73" customFormat="1" ht="15.75" customHeight="1">
      <c r="A76" s="228" t="s">
        <v>1086</v>
      </c>
      <c r="B76" s="116"/>
      <c r="C76" s="72" t="s">
        <v>613</v>
      </c>
      <c r="D76" s="72">
        <v>8</v>
      </c>
      <c r="E76" s="73" t="s">
        <v>1087</v>
      </c>
    </row>
    <row r="77" spans="1:4" s="73" customFormat="1" ht="15">
      <c r="A77" s="402" t="s">
        <v>907</v>
      </c>
      <c r="B77" s="413"/>
      <c r="C77" s="72" t="s">
        <v>908</v>
      </c>
      <c r="D77" s="72">
        <v>1.7</v>
      </c>
    </row>
    <row r="78" spans="1:4" s="73" customFormat="1" ht="15">
      <c r="A78" s="402" t="s">
        <v>909</v>
      </c>
      <c r="B78" s="413"/>
      <c r="C78" s="72" t="s">
        <v>910</v>
      </c>
      <c r="D78" s="72">
        <v>1.5</v>
      </c>
    </row>
    <row r="79" spans="1:4" s="73" customFormat="1" ht="18" customHeight="1">
      <c r="A79" s="228" t="s">
        <v>1089</v>
      </c>
      <c r="B79" s="231"/>
      <c r="C79" s="72" t="s">
        <v>1090</v>
      </c>
      <c r="D79" s="72">
        <v>1.5</v>
      </c>
    </row>
    <row r="80" spans="1:4" s="73" customFormat="1" ht="15" customHeight="1">
      <c r="A80" s="202" t="s">
        <v>1091</v>
      </c>
      <c r="B80" s="254"/>
      <c r="C80" s="105" t="s">
        <v>1092</v>
      </c>
      <c r="D80" s="72">
        <v>1.5</v>
      </c>
    </row>
    <row r="81" spans="1:4" s="73" customFormat="1" ht="15">
      <c r="A81" s="402" t="s">
        <v>1093</v>
      </c>
      <c r="B81" s="413"/>
      <c r="C81" s="72" t="s">
        <v>1094</v>
      </c>
      <c r="D81" s="72">
        <v>1.1</v>
      </c>
    </row>
    <row r="82" spans="1:4" ht="30.75" customHeight="1" thickBot="1">
      <c r="A82" s="465" t="s">
        <v>307</v>
      </c>
      <c r="B82" s="466"/>
      <c r="C82" s="215" t="s">
        <v>408</v>
      </c>
      <c r="D82" s="216" t="s">
        <v>414</v>
      </c>
    </row>
    <row r="83" spans="1:4" ht="15.75" thickBot="1">
      <c r="A83" s="467" t="s">
        <v>102</v>
      </c>
      <c r="B83" s="411"/>
      <c r="C83" s="72" t="s">
        <v>243</v>
      </c>
      <c r="D83" s="72"/>
    </row>
    <row r="84" spans="1:5" s="73" customFormat="1" ht="15">
      <c r="A84" s="90" t="s">
        <v>1029</v>
      </c>
      <c r="B84" s="91"/>
      <c r="C84" s="72" t="s">
        <v>1028</v>
      </c>
      <c r="D84" s="72">
        <f>130+32</f>
        <v>162</v>
      </c>
      <c r="E84" s="73">
        <v>1</v>
      </c>
    </row>
    <row r="85" spans="1:4" s="73" customFormat="1" ht="15">
      <c r="A85" s="90" t="s">
        <v>1035</v>
      </c>
      <c r="B85" s="91"/>
      <c r="C85" s="72" t="s">
        <v>1028</v>
      </c>
      <c r="D85" s="72">
        <f>130+40+175</f>
        <v>345</v>
      </c>
    </row>
    <row r="86" spans="1:5" s="73" customFormat="1" ht="15">
      <c r="A86" s="90" t="s">
        <v>1044</v>
      </c>
      <c r="B86" s="91"/>
      <c r="C86" s="72" t="s">
        <v>1028</v>
      </c>
      <c r="D86" s="72">
        <f>130*9+250+170+2</f>
        <v>1592</v>
      </c>
      <c r="E86" s="73">
        <v>9</v>
      </c>
    </row>
    <row r="87" spans="1:5" s="73" customFormat="1" ht="15">
      <c r="A87" s="90" t="s">
        <v>1045</v>
      </c>
      <c r="B87" s="91"/>
      <c r="C87" s="72" t="s">
        <v>243</v>
      </c>
      <c r="D87" s="72">
        <f>4*130+175</f>
        <v>695</v>
      </c>
      <c r="E87" s="73">
        <v>4</v>
      </c>
    </row>
    <row r="88" spans="1:4" ht="15">
      <c r="A88" s="90" t="s">
        <v>1050</v>
      </c>
      <c r="B88" s="91"/>
      <c r="C88" s="72"/>
      <c r="D88" s="72">
        <v>1.5</v>
      </c>
    </row>
    <row r="89" spans="1:4" ht="15">
      <c r="A89" s="90" t="s">
        <v>1051</v>
      </c>
      <c r="B89" s="91"/>
      <c r="C89" s="72"/>
      <c r="D89" s="72">
        <v>3</v>
      </c>
    </row>
    <row r="90" spans="1:4" s="73" customFormat="1" ht="15">
      <c r="A90" s="90" t="s">
        <v>1059</v>
      </c>
      <c r="B90" s="91"/>
      <c r="C90" s="72" t="s">
        <v>243</v>
      </c>
      <c r="D90" s="72">
        <v>1</v>
      </c>
    </row>
    <row r="91" spans="1:4" s="73" customFormat="1" ht="15">
      <c r="A91" s="90" t="s">
        <v>1063</v>
      </c>
      <c r="B91" s="91"/>
      <c r="C91" s="72" t="s">
        <v>243</v>
      </c>
      <c r="D91" s="72">
        <v>1</v>
      </c>
    </row>
    <row r="92" spans="1:4" s="73" customFormat="1" ht="15">
      <c r="A92" s="228" t="s">
        <v>478</v>
      </c>
      <c r="B92" s="240"/>
      <c r="C92" s="72" t="s">
        <v>243</v>
      </c>
      <c r="D92" s="72">
        <v>0.5</v>
      </c>
    </row>
    <row r="93" spans="1:4" s="73" customFormat="1" ht="15">
      <c r="A93" s="90" t="s">
        <v>1070</v>
      </c>
      <c r="B93" s="91"/>
      <c r="C93" s="72" t="s">
        <v>243</v>
      </c>
      <c r="D93" s="72">
        <v>2</v>
      </c>
    </row>
    <row r="94" spans="1:4" s="73" customFormat="1" ht="15">
      <c r="A94" s="228" t="s">
        <v>625</v>
      </c>
      <c r="B94" s="240"/>
      <c r="C94" s="72" t="s">
        <v>243</v>
      </c>
      <c r="D94" s="72">
        <v>2</v>
      </c>
    </row>
    <row r="95" spans="1:4" s="73" customFormat="1" ht="15">
      <c r="A95" s="90" t="s">
        <v>752</v>
      </c>
      <c r="B95" s="91"/>
      <c r="C95" s="72" t="s">
        <v>243</v>
      </c>
      <c r="D95" s="72">
        <v>1.5</v>
      </c>
    </row>
    <row r="96" spans="1:4" s="73" customFormat="1" ht="15">
      <c r="A96" s="90" t="s">
        <v>753</v>
      </c>
      <c r="B96" s="91"/>
      <c r="C96" s="72" t="s">
        <v>243</v>
      </c>
      <c r="D96" s="72">
        <v>1</v>
      </c>
    </row>
    <row r="97" spans="1:4" s="73" customFormat="1" ht="15">
      <c r="A97" s="228" t="s">
        <v>625</v>
      </c>
      <c r="B97" s="240"/>
      <c r="C97" s="72" t="s">
        <v>243</v>
      </c>
      <c r="D97" s="72">
        <v>2</v>
      </c>
    </row>
    <row r="98" spans="1:4" s="73" customFormat="1" ht="15">
      <c r="A98" s="90" t="s">
        <v>1078</v>
      </c>
      <c r="B98" s="91"/>
      <c r="C98" s="72" t="s">
        <v>243</v>
      </c>
      <c r="D98" s="72">
        <v>1</v>
      </c>
    </row>
    <row r="99" spans="1:4" s="73" customFormat="1" ht="28.5">
      <c r="A99" s="90" t="s">
        <v>1088</v>
      </c>
      <c r="B99" s="91"/>
      <c r="C99" s="72" t="s">
        <v>243</v>
      </c>
      <c r="D99" s="72">
        <v>1</v>
      </c>
    </row>
    <row r="100" spans="1:4" s="73" customFormat="1" ht="15">
      <c r="A100" s="228" t="s">
        <v>1025</v>
      </c>
      <c r="B100" s="240"/>
      <c r="C100" s="72" t="s">
        <v>243</v>
      </c>
      <c r="D100" s="72">
        <v>1.5</v>
      </c>
    </row>
    <row r="101" spans="1:4" s="73" customFormat="1" ht="15">
      <c r="A101" s="228" t="s">
        <v>1095</v>
      </c>
      <c r="B101" s="240"/>
      <c r="C101" s="72" t="s">
        <v>243</v>
      </c>
      <c r="D101" s="72">
        <v>1</v>
      </c>
    </row>
    <row r="102" spans="1:4" s="73" customFormat="1" ht="15">
      <c r="A102" s="228" t="s">
        <v>1096</v>
      </c>
      <c r="B102" s="240"/>
      <c r="C102" s="72" t="s">
        <v>243</v>
      </c>
      <c r="D102" s="72">
        <v>0.5</v>
      </c>
    </row>
    <row r="103" spans="1:4" s="73" customFormat="1" ht="15">
      <c r="A103" s="228" t="s">
        <v>1097</v>
      </c>
      <c r="B103" s="240"/>
      <c r="C103" s="72" t="s">
        <v>243</v>
      </c>
      <c r="D103" s="72">
        <v>1</v>
      </c>
    </row>
    <row r="104" spans="1:4" s="73" customFormat="1" ht="15">
      <c r="A104" s="90"/>
      <c r="B104" s="91"/>
      <c r="C104" s="72"/>
      <c r="D104" s="72"/>
    </row>
    <row r="105" spans="1:4" ht="15.75" thickBot="1">
      <c r="A105" s="468" t="s">
        <v>103</v>
      </c>
      <c r="B105" s="469"/>
      <c r="C105" s="72"/>
      <c r="D105" s="72"/>
    </row>
    <row r="106" spans="1:4" ht="15.75" thickBot="1">
      <c r="A106" s="470" t="s">
        <v>104</v>
      </c>
      <c r="B106" s="471"/>
      <c r="C106" s="72"/>
      <c r="D106" s="72"/>
    </row>
    <row r="107" spans="1:4" ht="15">
      <c r="A107" s="1"/>
      <c r="B107" s="1"/>
      <c r="C107" s="73"/>
      <c r="D107" s="73"/>
    </row>
    <row r="108" spans="1:4" ht="15.75">
      <c r="A108" s="464" t="s">
        <v>233</v>
      </c>
      <c r="B108" s="464"/>
      <c r="C108" s="464"/>
      <c r="D108" s="464"/>
    </row>
    <row r="109" spans="1:4" ht="15">
      <c r="A109" s="73"/>
      <c r="B109" s="73"/>
      <c r="C109" s="73"/>
      <c r="D109" s="73"/>
    </row>
    <row r="110" spans="1:4" ht="15.75">
      <c r="A110" s="464" t="s">
        <v>234</v>
      </c>
      <c r="B110" s="464"/>
      <c r="C110" s="464"/>
      <c r="D110" s="464"/>
    </row>
    <row r="111" spans="1:4" ht="15">
      <c r="A111" s="76"/>
      <c r="B111" s="76"/>
      <c r="C111" s="76"/>
      <c r="D111" s="76"/>
    </row>
    <row r="112" spans="1:4" ht="15">
      <c r="A112" s="76"/>
      <c r="B112" s="76"/>
      <c r="C112" s="76"/>
      <c r="D112" s="76"/>
    </row>
  </sheetData>
  <sheetProtection/>
  <mergeCells count="55">
    <mergeCell ref="A108:D108"/>
    <mergeCell ref="A110:D110"/>
    <mergeCell ref="A82:B82"/>
    <mergeCell ref="A83:B83"/>
    <mergeCell ref="A105:B105"/>
    <mergeCell ref="A106:B106"/>
    <mergeCell ref="A14:B14"/>
    <mergeCell ref="A15:B15"/>
    <mergeCell ref="A22:B22"/>
    <mergeCell ref="A23:B23"/>
    <mergeCell ref="A30:B30"/>
    <mergeCell ref="A18:B18"/>
    <mergeCell ref="A19:B19"/>
    <mergeCell ref="A47:B47"/>
    <mergeCell ref="A48:B48"/>
    <mergeCell ref="A50:B50"/>
    <mergeCell ref="A13:B13"/>
    <mergeCell ref="A1:D1"/>
    <mergeCell ref="A2:D2"/>
    <mergeCell ref="A3:D3"/>
    <mergeCell ref="A5:B5"/>
    <mergeCell ref="A6:B6"/>
    <mergeCell ref="A7:B7"/>
    <mergeCell ref="A8:B8"/>
    <mergeCell ref="A9:B9"/>
    <mergeCell ref="A10:B10"/>
    <mergeCell ref="A11:B11"/>
    <mergeCell ref="A12:B12"/>
    <mergeCell ref="A20:B20"/>
    <mergeCell ref="A63:B63"/>
    <mergeCell ref="A64:B64"/>
    <mergeCell ref="A21:B21"/>
    <mergeCell ref="A65:B65"/>
    <mergeCell ref="A66:B66"/>
    <mergeCell ref="A56:B56"/>
    <mergeCell ref="A57:B57"/>
    <mergeCell ref="A58:B58"/>
    <mergeCell ref="A59:B59"/>
    <mergeCell ref="A62:B62"/>
    <mergeCell ref="A52:B52"/>
    <mergeCell ref="A53:B53"/>
    <mergeCell ref="A54:B54"/>
    <mergeCell ref="A55:B55"/>
    <mergeCell ref="A45:B45"/>
    <mergeCell ref="A46:B46"/>
    <mergeCell ref="A67:B67"/>
    <mergeCell ref="A68:B68"/>
    <mergeCell ref="A71:B71"/>
    <mergeCell ref="A72:B72"/>
    <mergeCell ref="A73:B73"/>
    <mergeCell ref="A74:B74"/>
    <mergeCell ref="A75:B75"/>
    <mergeCell ref="A77:B77"/>
    <mergeCell ref="A78:B78"/>
    <mergeCell ref="A81:B81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portrait" paperSize="9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05"/>
  <sheetViews>
    <sheetView zoomScalePageLayoutView="0" workbookViewId="0" topLeftCell="A76">
      <selection activeCell="A81" sqref="A81:IV81"/>
    </sheetView>
  </sheetViews>
  <sheetFormatPr defaultColWidth="9.140625" defaultRowHeight="15"/>
  <cols>
    <col min="1" max="1" width="80.8515625" style="0" customWidth="1"/>
    <col min="2" max="2" width="3.28125" style="0" hidden="1" customWidth="1"/>
    <col min="3" max="3" width="28.00390625" style="0" customWidth="1"/>
  </cols>
  <sheetData>
    <row r="1" spans="1:4" ht="15.75">
      <c r="A1" s="381" t="s">
        <v>959</v>
      </c>
      <c r="B1" s="381"/>
      <c r="C1" s="381"/>
      <c r="D1" s="381"/>
    </row>
    <row r="2" spans="1:4" ht="15.75">
      <c r="A2" s="382" t="s">
        <v>260</v>
      </c>
      <c r="B2" s="382"/>
      <c r="C2" s="382"/>
      <c r="D2" s="382"/>
    </row>
    <row r="3" spans="1:4" s="55" customFormat="1" ht="15.75">
      <c r="A3" s="382" t="s">
        <v>1100</v>
      </c>
      <c r="B3" s="382"/>
      <c r="C3" s="382"/>
      <c r="D3" s="382"/>
    </row>
    <row r="4" spans="1:4" s="55" customFormat="1" ht="15.75">
      <c r="A4" s="107"/>
      <c r="B4" s="107"/>
      <c r="C4" s="89"/>
      <c r="D4" s="89"/>
    </row>
    <row r="5" spans="1:4" ht="30">
      <c r="A5" s="383" t="s">
        <v>229</v>
      </c>
      <c r="B5" s="384"/>
      <c r="C5" s="86" t="s">
        <v>231</v>
      </c>
      <c r="D5" s="85" t="s">
        <v>530</v>
      </c>
    </row>
    <row r="6" spans="1:4" ht="15">
      <c r="A6" s="383" t="s">
        <v>229</v>
      </c>
      <c r="B6" s="384"/>
      <c r="C6" s="73"/>
      <c r="D6" s="73"/>
    </row>
    <row r="7" spans="1:4" ht="15.75" thickBot="1">
      <c r="A7" s="379" t="s">
        <v>0</v>
      </c>
      <c r="B7" s="380"/>
      <c r="C7" s="76"/>
      <c r="D7" s="76"/>
    </row>
    <row r="8" spans="1:4" ht="15">
      <c r="A8" s="474" t="s">
        <v>24</v>
      </c>
      <c r="B8" s="475"/>
      <c r="C8" s="109"/>
      <c r="D8" s="109"/>
    </row>
    <row r="9" spans="1:4" ht="15">
      <c r="A9" s="474" t="s">
        <v>647</v>
      </c>
      <c r="B9" s="475"/>
      <c r="C9" s="109"/>
      <c r="D9" s="109"/>
    </row>
    <row r="10" spans="1:4" ht="15.75" thickBot="1">
      <c r="A10" s="476" t="s">
        <v>28</v>
      </c>
      <c r="B10" s="477"/>
      <c r="C10" s="109"/>
      <c r="D10" s="109"/>
    </row>
    <row r="11" spans="1:4" ht="15.75" thickBot="1">
      <c r="A11" s="478" t="s">
        <v>29</v>
      </c>
      <c r="B11" s="479"/>
      <c r="C11" s="109"/>
      <c r="D11" s="109"/>
    </row>
    <row r="12" spans="1:4" ht="15">
      <c r="A12" s="480" t="s">
        <v>45</v>
      </c>
      <c r="B12" s="481"/>
      <c r="C12" s="109"/>
      <c r="D12" s="109"/>
    </row>
    <row r="13" spans="1:4" ht="15.75" thickBot="1">
      <c r="A13" s="472" t="s">
        <v>55</v>
      </c>
      <c r="B13" s="473"/>
      <c r="C13" s="109"/>
      <c r="D13" s="109"/>
    </row>
    <row r="14" spans="1:4" ht="15.75" thickBot="1">
      <c r="A14" s="485" t="s">
        <v>56</v>
      </c>
      <c r="B14" s="490"/>
      <c r="C14" s="109"/>
      <c r="D14" s="109"/>
    </row>
    <row r="15" spans="1:4" ht="15.75" thickBot="1">
      <c r="A15" s="478" t="s">
        <v>57</v>
      </c>
      <c r="B15" s="479"/>
      <c r="C15" s="109"/>
      <c r="D15" s="109"/>
    </row>
    <row r="16" spans="1:4" s="73" customFormat="1" ht="15.75" thickBot="1">
      <c r="A16" s="262" t="s">
        <v>1138</v>
      </c>
      <c r="B16" s="230"/>
      <c r="C16" s="72" t="s">
        <v>328</v>
      </c>
      <c r="D16" s="72">
        <f>130+175</f>
        <v>305</v>
      </c>
    </row>
    <row r="17" spans="1:4" ht="15.75" thickBot="1">
      <c r="A17" s="191" t="s">
        <v>969</v>
      </c>
      <c r="B17" s="192"/>
      <c r="C17" s="72" t="s">
        <v>370</v>
      </c>
      <c r="D17" s="72">
        <f>130+175</f>
        <v>305</v>
      </c>
    </row>
    <row r="18" spans="1:5" ht="15">
      <c r="A18" s="399" t="s">
        <v>1110</v>
      </c>
      <c r="B18" s="400"/>
      <c r="C18" s="72"/>
      <c r="D18" s="72" t="s">
        <v>390</v>
      </c>
      <c r="E18" s="72">
        <v>0.5</v>
      </c>
    </row>
    <row r="19" spans="1:5" ht="15" customHeight="1">
      <c r="A19" s="399" t="s">
        <v>1111</v>
      </c>
      <c r="B19" s="400"/>
      <c r="C19" s="72"/>
      <c r="D19" s="72" t="s">
        <v>390</v>
      </c>
      <c r="E19" s="72">
        <v>0.5</v>
      </c>
    </row>
    <row r="20" spans="1:4" s="73" customFormat="1" ht="30" customHeight="1">
      <c r="A20" s="399" t="s">
        <v>1139</v>
      </c>
      <c r="B20" s="400"/>
      <c r="C20" s="72" t="s">
        <v>396</v>
      </c>
      <c r="D20" s="72">
        <v>1.5</v>
      </c>
    </row>
    <row r="21" spans="1:4" s="73" customFormat="1" ht="15" customHeight="1">
      <c r="A21" s="399" t="s">
        <v>1137</v>
      </c>
      <c r="B21" s="400"/>
      <c r="C21" s="72" t="s">
        <v>357</v>
      </c>
      <c r="D21" s="72">
        <v>2</v>
      </c>
    </row>
    <row r="22" spans="1:4" s="73" customFormat="1" ht="15" customHeight="1">
      <c r="A22" s="202" t="s">
        <v>1091</v>
      </c>
      <c r="B22" s="254"/>
      <c r="C22" s="105" t="s">
        <v>1092</v>
      </c>
      <c r="D22" s="72">
        <v>1.5</v>
      </c>
    </row>
    <row r="23" spans="1:4" s="73" customFormat="1" ht="15">
      <c r="A23" s="402" t="s">
        <v>1093</v>
      </c>
      <c r="B23" s="413"/>
      <c r="C23" s="72" t="s">
        <v>1094</v>
      </c>
      <c r="D23" s="72">
        <v>1.1</v>
      </c>
    </row>
    <row r="24" spans="1:4" ht="15" customHeight="1">
      <c r="A24" s="475" t="s">
        <v>62</v>
      </c>
      <c r="B24" s="482"/>
      <c r="C24" s="109"/>
      <c r="D24" s="109"/>
    </row>
    <row r="25" spans="1:4" ht="15.75" customHeight="1" thickBot="1">
      <c r="A25" s="477" t="s">
        <v>63</v>
      </c>
      <c r="B25" s="483"/>
      <c r="C25" s="109"/>
      <c r="D25" s="109"/>
    </row>
    <row r="26" spans="1:4" ht="15.75" thickBot="1">
      <c r="A26" s="484" t="s">
        <v>64</v>
      </c>
      <c r="B26" s="485"/>
      <c r="C26" s="109"/>
      <c r="D26" s="109"/>
    </row>
    <row r="27" spans="1:4" ht="15">
      <c r="A27" s="486" t="s">
        <v>66</v>
      </c>
      <c r="B27" s="487"/>
      <c r="C27" s="109"/>
      <c r="D27" s="109"/>
    </row>
    <row r="28" spans="1:4" ht="15">
      <c r="A28" s="137" t="s">
        <v>68</v>
      </c>
      <c r="B28" s="138"/>
      <c r="C28" s="109"/>
      <c r="D28" s="109"/>
    </row>
    <row r="29" spans="1:4" ht="15" customHeight="1">
      <c r="A29" s="87" t="s">
        <v>343</v>
      </c>
      <c r="B29" s="140"/>
      <c r="C29" s="181" t="s">
        <v>369</v>
      </c>
      <c r="D29" s="199">
        <f>0.5+0.5</f>
        <v>1</v>
      </c>
    </row>
    <row r="30" spans="1:5" s="73" customFormat="1" ht="15" customHeight="1">
      <c r="A30" s="87" t="s">
        <v>1112</v>
      </c>
      <c r="B30" s="88"/>
      <c r="C30" s="72"/>
      <c r="D30" s="72" t="s">
        <v>342</v>
      </c>
      <c r="E30" s="72">
        <v>1.5</v>
      </c>
    </row>
    <row r="31" spans="1:5" s="73" customFormat="1" ht="15" customHeight="1">
      <c r="A31" s="87" t="s">
        <v>1113</v>
      </c>
      <c r="B31" s="88"/>
      <c r="C31" s="72"/>
      <c r="D31" s="72" t="s">
        <v>390</v>
      </c>
      <c r="E31" s="72">
        <v>1</v>
      </c>
    </row>
    <row r="32" spans="1:4" s="73" customFormat="1" ht="15">
      <c r="A32" s="87" t="s">
        <v>456</v>
      </c>
      <c r="B32" s="93"/>
      <c r="C32" s="72" t="s">
        <v>370</v>
      </c>
      <c r="D32" s="72">
        <v>0.4</v>
      </c>
    </row>
    <row r="33" spans="1:4" s="73" customFormat="1" ht="15">
      <c r="A33" s="142" t="s">
        <v>456</v>
      </c>
      <c r="B33" s="138"/>
      <c r="C33" s="109" t="s">
        <v>370</v>
      </c>
      <c r="D33" s="109">
        <v>0.4</v>
      </c>
    </row>
    <row r="34" spans="1:4" ht="15" customHeight="1">
      <c r="A34" s="142" t="s">
        <v>72</v>
      </c>
      <c r="B34" s="140"/>
      <c r="C34" s="109"/>
      <c r="D34" s="109"/>
    </row>
    <row r="35" spans="1:4" ht="15" customHeight="1">
      <c r="A35" s="142" t="s">
        <v>74</v>
      </c>
      <c r="B35" s="140"/>
      <c r="C35" s="109"/>
      <c r="D35" s="109"/>
    </row>
    <row r="36" spans="1:4" ht="15">
      <c r="A36" s="142" t="s">
        <v>648</v>
      </c>
      <c r="B36" s="140"/>
      <c r="C36" s="109"/>
      <c r="D36" s="109"/>
    </row>
    <row r="37" spans="1:4" ht="15" customHeight="1">
      <c r="A37" s="143" t="s">
        <v>645</v>
      </c>
      <c r="B37" s="144"/>
      <c r="C37" s="109"/>
      <c r="D37" s="109"/>
    </row>
    <row r="38" spans="1:4" ht="15" customHeight="1">
      <c r="A38" s="145" t="s">
        <v>80</v>
      </c>
      <c r="B38" s="146"/>
      <c r="C38" s="109"/>
      <c r="D38" s="109"/>
    </row>
    <row r="39" spans="1:4" ht="15" customHeight="1">
      <c r="A39" s="143" t="s">
        <v>82</v>
      </c>
      <c r="B39" s="144"/>
      <c r="C39" s="109"/>
      <c r="D39" s="109"/>
    </row>
    <row r="40" spans="1:4" ht="15">
      <c r="A40" s="143" t="s">
        <v>84</v>
      </c>
      <c r="B40" s="144"/>
      <c r="C40" s="109"/>
      <c r="D40" s="109"/>
    </row>
    <row r="41" spans="1:4" ht="15" customHeight="1">
      <c r="A41" s="143" t="s">
        <v>86</v>
      </c>
      <c r="B41" s="144"/>
      <c r="C41" s="109"/>
      <c r="D41" s="109"/>
    </row>
    <row r="42" spans="1:4" ht="15" customHeight="1">
      <c r="A42" s="147" t="s">
        <v>88</v>
      </c>
      <c r="B42" s="148"/>
      <c r="C42" s="109"/>
      <c r="D42" s="109"/>
    </row>
    <row r="43" spans="1:4" ht="15">
      <c r="A43" s="488" t="s">
        <v>90</v>
      </c>
      <c r="B43" s="489"/>
      <c r="C43" s="109"/>
      <c r="D43" s="109"/>
    </row>
    <row r="44" spans="1:4" s="73" customFormat="1" ht="15">
      <c r="A44" s="90" t="s">
        <v>1101</v>
      </c>
      <c r="B44" s="91"/>
      <c r="C44" s="72" t="s">
        <v>1098</v>
      </c>
      <c r="D44" s="72">
        <f>130+175</f>
        <v>305</v>
      </c>
    </row>
    <row r="45" spans="1:4" s="73" customFormat="1" ht="30">
      <c r="A45" s="186" t="s">
        <v>1102</v>
      </c>
      <c r="B45" s="91"/>
      <c r="C45" s="105" t="s">
        <v>1099</v>
      </c>
      <c r="D45" s="72">
        <f>7*130*2+130*1.5</f>
        <v>2015</v>
      </c>
    </row>
    <row r="46" spans="1:4" ht="15">
      <c r="A46" s="252" t="s">
        <v>974</v>
      </c>
      <c r="B46" s="253"/>
      <c r="C46" s="72" t="s">
        <v>429</v>
      </c>
      <c r="D46" s="72">
        <f>175+130*1.75*2</f>
        <v>630</v>
      </c>
    </row>
    <row r="47" spans="1:4" ht="14.25" customHeight="1">
      <c r="A47" s="252" t="s">
        <v>822</v>
      </c>
      <c r="B47" s="253"/>
      <c r="C47" s="72" t="s">
        <v>279</v>
      </c>
      <c r="D47" s="72">
        <f>130*0.5</f>
        <v>65</v>
      </c>
    </row>
    <row r="48" spans="1:4" ht="15">
      <c r="A48" s="90" t="s">
        <v>821</v>
      </c>
      <c r="B48" s="232"/>
      <c r="C48" s="72" t="s">
        <v>279</v>
      </c>
      <c r="D48" s="72">
        <v>240</v>
      </c>
    </row>
    <row r="49" spans="1:4" s="73" customFormat="1" ht="15">
      <c r="A49" s="90" t="s">
        <v>1103</v>
      </c>
      <c r="B49" s="91"/>
      <c r="C49" s="72" t="s">
        <v>400</v>
      </c>
      <c r="D49" s="72">
        <f>350+130</f>
        <v>480</v>
      </c>
    </row>
    <row r="50" spans="1:4" s="73" customFormat="1" ht="30">
      <c r="A50" s="90" t="s">
        <v>1104</v>
      </c>
      <c r="B50" s="91"/>
      <c r="C50" s="105" t="s">
        <v>1105</v>
      </c>
      <c r="D50" s="72">
        <f>350+130*3</f>
        <v>740</v>
      </c>
    </row>
    <row r="51" spans="1:4" s="94" customFormat="1" ht="15">
      <c r="A51" s="229" t="s">
        <v>977</v>
      </c>
      <c r="B51" s="231"/>
      <c r="C51" s="72" t="s">
        <v>817</v>
      </c>
      <c r="D51" s="72">
        <f>130+175</f>
        <v>305</v>
      </c>
    </row>
    <row r="52" spans="1:4" ht="15" customHeight="1">
      <c r="A52" s="401" t="s">
        <v>979</v>
      </c>
      <c r="B52" s="402"/>
      <c r="C52" s="181" t="s">
        <v>279</v>
      </c>
      <c r="D52" s="199">
        <v>0.5</v>
      </c>
    </row>
    <row r="53" spans="1:4" ht="15.75" customHeight="1">
      <c r="A53" s="424" t="s">
        <v>1107</v>
      </c>
      <c r="B53" s="425"/>
      <c r="C53" s="181" t="s">
        <v>1108</v>
      </c>
      <c r="D53" s="199">
        <f>3+3+3</f>
        <v>9</v>
      </c>
    </row>
    <row r="54" spans="1:5" ht="29.25" customHeight="1">
      <c r="A54" s="401" t="s">
        <v>1057</v>
      </c>
      <c r="B54" s="402"/>
      <c r="C54" s="72"/>
      <c r="D54" s="105" t="s">
        <v>1114</v>
      </c>
      <c r="E54" s="72">
        <f>1.5+1.5+1.5</f>
        <v>4.5</v>
      </c>
    </row>
    <row r="55" spans="1:4" s="73" customFormat="1" ht="15" customHeight="1">
      <c r="A55" s="401" t="s">
        <v>1115</v>
      </c>
      <c r="B55" s="402"/>
      <c r="C55" s="72" t="s">
        <v>468</v>
      </c>
      <c r="D55" s="72">
        <v>14</v>
      </c>
    </row>
    <row r="56" spans="1:4" s="73" customFormat="1" ht="36.75" customHeight="1">
      <c r="A56" s="402" t="s">
        <v>1116</v>
      </c>
      <c r="B56" s="413"/>
      <c r="C56" s="72" t="s">
        <v>1117</v>
      </c>
      <c r="D56" s="72">
        <v>3</v>
      </c>
    </row>
    <row r="57" spans="1:4" s="73" customFormat="1" ht="15">
      <c r="A57" s="402" t="s">
        <v>1118</v>
      </c>
      <c r="B57" s="413"/>
      <c r="C57" s="72" t="s">
        <v>724</v>
      </c>
      <c r="D57" s="72">
        <v>6</v>
      </c>
    </row>
    <row r="58" spans="1:4" s="73" customFormat="1" ht="30" customHeight="1">
      <c r="A58" s="424" t="s">
        <v>1119</v>
      </c>
      <c r="B58" s="425"/>
      <c r="C58" s="72" t="s">
        <v>516</v>
      </c>
      <c r="D58" s="72">
        <v>6</v>
      </c>
    </row>
    <row r="59" spans="1:4" s="73" customFormat="1" ht="15" customHeight="1">
      <c r="A59" s="401" t="s">
        <v>1121</v>
      </c>
      <c r="B59" s="402"/>
      <c r="C59" s="72" t="s">
        <v>1122</v>
      </c>
      <c r="D59" s="72">
        <v>1</v>
      </c>
    </row>
    <row r="60" spans="1:4" s="73" customFormat="1" ht="21" customHeight="1">
      <c r="A60" s="402" t="s">
        <v>1123</v>
      </c>
      <c r="B60" s="413"/>
      <c r="C60" s="72" t="s">
        <v>328</v>
      </c>
      <c r="D60" s="72">
        <v>2</v>
      </c>
    </row>
    <row r="61" spans="1:4" s="73" customFormat="1" ht="35.25" customHeight="1">
      <c r="A61" s="402" t="s">
        <v>1124</v>
      </c>
      <c r="B61" s="413"/>
      <c r="C61" s="105" t="s">
        <v>1125</v>
      </c>
      <c r="D61" s="72">
        <v>16</v>
      </c>
    </row>
    <row r="62" spans="1:4" s="73" customFormat="1" ht="30" customHeight="1">
      <c r="A62" s="424" t="s">
        <v>1126</v>
      </c>
      <c r="B62" s="425"/>
      <c r="C62" s="105" t="s">
        <v>1127</v>
      </c>
      <c r="D62" s="72">
        <v>24</v>
      </c>
    </row>
    <row r="63" spans="1:4" s="73" customFormat="1" ht="30" customHeight="1">
      <c r="A63" s="228" t="s">
        <v>1128</v>
      </c>
      <c r="B63" s="116"/>
      <c r="C63" s="105" t="s">
        <v>357</v>
      </c>
      <c r="D63" s="72">
        <v>16</v>
      </c>
    </row>
    <row r="64" spans="1:4" s="73" customFormat="1" ht="15" customHeight="1">
      <c r="A64" s="401" t="s">
        <v>675</v>
      </c>
      <c r="B64" s="402"/>
      <c r="C64" s="72" t="s">
        <v>447</v>
      </c>
      <c r="D64" s="72">
        <v>2</v>
      </c>
    </row>
    <row r="65" spans="1:4" s="73" customFormat="1" ht="21" customHeight="1">
      <c r="A65" s="402" t="s">
        <v>710</v>
      </c>
      <c r="B65" s="413"/>
      <c r="C65" s="72" t="s">
        <v>709</v>
      </c>
      <c r="D65" s="72">
        <v>9</v>
      </c>
    </row>
    <row r="66" spans="1:4" s="73" customFormat="1" ht="19.5" customHeight="1">
      <c r="A66" s="402" t="s">
        <v>730</v>
      </c>
      <c r="B66" s="413"/>
      <c r="C66" s="105" t="s">
        <v>433</v>
      </c>
      <c r="D66" s="72">
        <v>16</v>
      </c>
    </row>
    <row r="67" spans="1:4" s="73" customFormat="1" ht="15.75" customHeight="1">
      <c r="A67" s="424" t="s">
        <v>735</v>
      </c>
      <c r="B67" s="425"/>
      <c r="C67" s="72" t="s">
        <v>447</v>
      </c>
      <c r="D67" s="72">
        <v>4</v>
      </c>
    </row>
    <row r="68" spans="1:4" s="73" customFormat="1" ht="30" customHeight="1">
      <c r="A68" s="167" t="s">
        <v>747</v>
      </c>
      <c r="B68" s="116"/>
      <c r="C68" s="105" t="s">
        <v>748</v>
      </c>
      <c r="D68" s="72">
        <v>24</v>
      </c>
    </row>
    <row r="69" spans="1:4" s="73" customFormat="1" ht="15" customHeight="1">
      <c r="A69" s="401" t="s">
        <v>1131</v>
      </c>
      <c r="B69" s="402"/>
      <c r="C69" s="72" t="s">
        <v>1132</v>
      </c>
      <c r="D69" s="72">
        <v>6</v>
      </c>
    </row>
    <row r="70" spans="1:4" s="73" customFormat="1" ht="15" customHeight="1">
      <c r="A70" s="401" t="s">
        <v>1133</v>
      </c>
      <c r="B70" s="402"/>
      <c r="C70" s="72" t="s">
        <v>394</v>
      </c>
      <c r="D70" s="72">
        <v>2</v>
      </c>
    </row>
    <row r="71" spans="1:4" s="73" customFormat="1" ht="15" customHeight="1">
      <c r="A71" s="87" t="s">
        <v>900</v>
      </c>
      <c r="B71" s="88"/>
      <c r="C71" s="72" t="s">
        <v>279</v>
      </c>
      <c r="D71" s="72">
        <v>2</v>
      </c>
    </row>
    <row r="72" spans="1:4" s="73" customFormat="1" ht="19.5" customHeight="1">
      <c r="A72" s="402" t="s">
        <v>1134</v>
      </c>
      <c r="B72" s="413"/>
      <c r="C72" s="105" t="s">
        <v>950</v>
      </c>
      <c r="D72" s="72">
        <v>6</v>
      </c>
    </row>
    <row r="73" spans="1:4" s="73" customFormat="1" ht="31.5" customHeight="1">
      <c r="A73" s="424" t="s">
        <v>1135</v>
      </c>
      <c r="B73" s="425"/>
      <c r="C73" s="72" t="s">
        <v>1136</v>
      </c>
      <c r="D73" s="72">
        <v>3</v>
      </c>
    </row>
    <row r="74" spans="1:4" s="73" customFormat="1" ht="15">
      <c r="A74" s="402" t="s">
        <v>907</v>
      </c>
      <c r="B74" s="413"/>
      <c r="C74" s="72" t="s">
        <v>908</v>
      </c>
      <c r="D74" s="72">
        <v>1.7</v>
      </c>
    </row>
    <row r="75" spans="1:4" s="73" customFormat="1" ht="15">
      <c r="A75" s="402" t="s">
        <v>909</v>
      </c>
      <c r="B75" s="413"/>
      <c r="C75" s="72" t="s">
        <v>910</v>
      </c>
      <c r="D75" s="72">
        <v>1.5</v>
      </c>
    </row>
    <row r="76" spans="1:4" s="73" customFormat="1" ht="15" customHeight="1">
      <c r="A76" s="401" t="s">
        <v>1140</v>
      </c>
      <c r="B76" s="402"/>
      <c r="C76" s="72" t="s">
        <v>433</v>
      </c>
      <c r="D76" s="72">
        <v>2</v>
      </c>
    </row>
    <row r="77" spans="1:4" s="73" customFormat="1" ht="18" customHeight="1">
      <c r="A77" s="228" t="s">
        <v>1089</v>
      </c>
      <c r="B77" s="231"/>
      <c r="C77" s="72" t="s">
        <v>1090</v>
      </c>
      <c r="D77" s="72">
        <v>1.5</v>
      </c>
    </row>
    <row r="78" spans="1:4" s="73" customFormat="1" ht="19.5" customHeight="1">
      <c r="A78" s="402" t="s">
        <v>1141</v>
      </c>
      <c r="B78" s="413"/>
      <c r="C78" s="105" t="s">
        <v>678</v>
      </c>
      <c r="D78" s="72">
        <v>6</v>
      </c>
    </row>
    <row r="79" spans="1:4" s="73" customFormat="1" ht="16.5" customHeight="1">
      <c r="A79" s="424" t="s">
        <v>1142</v>
      </c>
      <c r="B79" s="425"/>
      <c r="C79" s="72" t="s">
        <v>1092</v>
      </c>
      <c r="D79" s="72">
        <v>10</v>
      </c>
    </row>
    <row r="80" spans="1:4" s="73" customFormat="1" ht="28.5" customHeight="1">
      <c r="A80" s="234" t="s">
        <v>1143</v>
      </c>
      <c r="B80" s="235"/>
      <c r="C80" s="72" t="s">
        <v>1144</v>
      </c>
      <c r="D80" s="72">
        <v>3</v>
      </c>
    </row>
    <row r="81" spans="1:4" s="73" customFormat="1" ht="16.5" customHeight="1" thickBot="1">
      <c r="A81" s="244" t="s">
        <v>1429</v>
      </c>
      <c r="B81" s="245"/>
      <c r="C81" s="72" t="s">
        <v>1430</v>
      </c>
      <c r="D81" s="72">
        <v>18</v>
      </c>
    </row>
    <row r="82" spans="1:4" ht="15.75" thickBot="1">
      <c r="A82" s="491" t="s">
        <v>99</v>
      </c>
      <c r="B82" s="490"/>
      <c r="C82" s="109"/>
      <c r="D82" s="109"/>
    </row>
    <row r="83" spans="1:4" ht="30.75" customHeight="1" thickBot="1">
      <c r="A83" s="492" t="s">
        <v>307</v>
      </c>
      <c r="B83" s="493"/>
      <c r="C83" s="154" t="s">
        <v>408</v>
      </c>
      <c r="D83" s="155" t="s">
        <v>416</v>
      </c>
    </row>
    <row r="84" spans="1:4" ht="15.75" thickBot="1">
      <c r="A84" s="485" t="s">
        <v>101</v>
      </c>
      <c r="B84" s="490"/>
      <c r="C84" s="109"/>
      <c r="D84" s="109"/>
    </row>
    <row r="85" spans="1:4" ht="15.75" thickBot="1">
      <c r="A85" s="494" t="s">
        <v>102</v>
      </c>
      <c r="B85" s="478"/>
      <c r="C85" s="109" t="s">
        <v>243</v>
      </c>
      <c r="D85" s="109"/>
    </row>
    <row r="86" spans="1:5" ht="15">
      <c r="A86" s="90" t="s">
        <v>1109</v>
      </c>
      <c r="B86" s="135"/>
      <c r="C86" s="199"/>
      <c r="D86" s="199" t="s">
        <v>243</v>
      </c>
      <c r="E86" s="199">
        <v>1</v>
      </c>
    </row>
    <row r="87" spans="1:4" s="73" customFormat="1" ht="15">
      <c r="A87" s="161" t="s">
        <v>478</v>
      </c>
      <c r="B87" s="240"/>
      <c r="C87" s="162" t="s">
        <v>243</v>
      </c>
      <c r="D87" s="162">
        <v>0.5</v>
      </c>
    </row>
    <row r="88" spans="1:4" s="73" customFormat="1" ht="15">
      <c r="A88" s="228" t="s">
        <v>1120</v>
      </c>
      <c r="B88" s="228"/>
      <c r="C88" s="72" t="s">
        <v>243</v>
      </c>
      <c r="D88" s="72">
        <v>1</v>
      </c>
    </row>
    <row r="89" spans="1:4" s="73" customFormat="1" ht="15">
      <c r="A89" s="161" t="s">
        <v>654</v>
      </c>
      <c r="B89" s="117"/>
      <c r="C89" s="162" t="s">
        <v>243</v>
      </c>
      <c r="D89" s="162">
        <v>1.5</v>
      </c>
    </row>
    <row r="90" spans="1:4" s="73" customFormat="1" ht="15">
      <c r="A90" s="125" t="s">
        <v>661</v>
      </c>
      <c r="B90" s="125"/>
      <c r="C90" s="72" t="s">
        <v>659</v>
      </c>
      <c r="D90" s="72">
        <v>4</v>
      </c>
    </row>
    <row r="91" spans="1:4" s="73" customFormat="1" ht="15">
      <c r="A91" s="161" t="s">
        <v>1129</v>
      </c>
      <c r="B91" s="240"/>
      <c r="C91" s="162" t="s">
        <v>243</v>
      </c>
      <c r="D91" s="162">
        <v>1</v>
      </c>
    </row>
    <row r="92" spans="1:4" s="73" customFormat="1" ht="15">
      <c r="A92" s="161" t="s">
        <v>1130</v>
      </c>
      <c r="B92" s="240"/>
      <c r="C92" s="162" t="s">
        <v>243</v>
      </c>
      <c r="D92" s="162"/>
    </row>
    <row r="93" spans="1:4" s="73" customFormat="1" ht="15">
      <c r="A93" s="228" t="s">
        <v>1025</v>
      </c>
      <c r="B93" s="240"/>
      <c r="C93" s="72" t="s">
        <v>243</v>
      </c>
      <c r="D93" s="72">
        <v>1.5</v>
      </c>
    </row>
    <row r="94" spans="1:4" s="73" customFormat="1" ht="15">
      <c r="A94" s="228" t="s">
        <v>1145</v>
      </c>
      <c r="B94" s="240"/>
      <c r="C94" s="72" t="s">
        <v>243</v>
      </c>
      <c r="D94" s="72">
        <v>1</v>
      </c>
    </row>
    <row r="95" spans="1:4" s="73" customFormat="1" ht="15">
      <c r="A95" s="228" t="s">
        <v>1095</v>
      </c>
      <c r="B95" s="240"/>
      <c r="C95" s="72" t="s">
        <v>243</v>
      </c>
      <c r="D95" s="72">
        <v>1</v>
      </c>
    </row>
    <row r="96" spans="1:4" ht="15">
      <c r="A96" s="109"/>
      <c r="B96" s="109"/>
      <c r="C96" s="109"/>
      <c r="D96" s="109"/>
    </row>
    <row r="97" spans="1:4" ht="15.75" thickBot="1">
      <c r="A97" s="495" t="s">
        <v>103</v>
      </c>
      <c r="B97" s="496"/>
      <c r="C97" s="160"/>
      <c r="D97" s="160"/>
    </row>
    <row r="98" spans="1:4" ht="15.75" thickBot="1">
      <c r="A98" s="497" t="s">
        <v>104</v>
      </c>
      <c r="B98" s="498"/>
      <c r="C98" s="109"/>
      <c r="D98" s="109"/>
    </row>
    <row r="99" spans="1:4" ht="15">
      <c r="A99" s="79"/>
      <c r="B99" s="79"/>
      <c r="C99" s="76"/>
      <c r="D99" s="76"/>
    </row>
    <row r="100" spans="1:4" ht="15.75">
      <c r="A100" s="394" t="s">
        <v>233</v>
      </c>
      <c r="B100" s="394"/>
      <c r="C100" s="394"/>
      <c r="D100" s="394"/>
    </row>
    <row r="101" spans="1:4" ht="15">
      <c r="A101" s="76"/>
      <c r="B101" s="76"/>
      <c r="C101" s="76"/>
      <c r="D101" s="76"/>
    </row>
    <row r="102" spans="1:4" ht="15.75">
      <c r="A102" s="394" t="s">
        <v>234</v>
      </c>
      <c r="B102" s="394"/>
      <c r="C102" s="394"/>
      <c r="D102" s="394"/>
    </row>
    <row r="105" ht="15">
      <c r="A105" t="s">
        <v>1106</v>
      </c>
    </row>
  </sheetData>
  <sheetProtection/>
  <mergeCells count="56">
    <mergeCell ref="A102:D102"/>
    <mergeCell ref="A84:B84"/>
    <mergeCell ref="A85:B85"/>
    <mergeCell ref="A97:B97"/>
    <mergeCell ref="A98:B98"/>
    <mergeCell ref="A57:B57"/>
    <mergeCell ref="A58:B58"/>
    <mergeCell ref="A59:B59"/>
    <mergeCell ref="A60:B60"/>
    <mergeCell ref="A100:D100"/>
    <mergeCell ref="A61:B61"/>
    <mergeCell ref="A62:B62"/>
    <mergeCell ref="A69:B69"/>
    <mergeCell ref="A70:B70"/>
    <mergeCell ref="A72:B72"/>
    <mergeCell ref="A64:B64"/>
    <mergeCell ref="A73:B73"/>
    <mergeCell ref="A74:B74"/>
    <mergeCell ref="A65:B65"/>
    <mergeCell ref="A66:B66"/>
    <mergeCell ref="A67:B67"/>
    <mergeCell ref="A82:B82"/>
    <mergeCell ref="A83:B83"/>
    <mergeCell ref="A75:B75"/>
    <mergeCell ref="A76:B76"/>
    <mergeCell ref="A78:B78"/>
    <mergeCell ref="A79:B79"/>
    <mergeCell ref="A14:B14"/>
    <mergeCell ref="A15:B15"/>
    <mergeCell ref="A20:B20"/>
    <mergeCell ref="A21:B21"/>
    <mergeCell ref="A23:B23"/>
    <mergeCell ref="A52:B52"/>
    <mergeCell ref="A53:B53"/>
    <mergeCell ref="A56:B56"/>
    <mergeCell ref="A18:B18"/>
    <mergeCell ref="A19:B19"/>
    <mergeCell ref="A54:B54"/>
    <mergeCell ref="A24:B24"/>
    <mergeCell ref="A25:B25"/>
    <mergeCell ref="A26:B26"/>
    <mergeCell ref="A27:B27"/>
    <mergeCell ref="A43:B43"/>
    <mergeCell ref="A55:B55"/>
    <mergeCell ref="A13:B13"/>
    <mergeCell ref="A1:D1"/>
    <mergeCell ref="A2:D2"/>
    <mergeCell ref="A3:D3"/>
    <mergeCell ref="A5:B5"/>
    <mergeCell ref="A6:B6"/>
    <mergeCell ref="A7:B7"/>
    <mergeCell ref="A8:B8"/>
    <mergeCell ref="A9:B9"/>
    <mergeCell ref="A10:B10"/>
    <mergeCell ref="A11:B11"/>
    <mergeCell ref="A12:B12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79"/>
  <sheetViews>
    <sheetView zoomScalePageLayoutView="0" workbookViewId="0" topLeftCell="A49">
      <selection activeCell="A71" sqref="A71:IV72"/>
    </sheetView>
  </sheetViews>
  <sheetFormatPr defaultColWidth="9.140625" defaultRowHeight="15"/>
  <cols>
    <col min="1" max="1" width="80.8515625" style="0" customWidth="1"/>
    <col min="2" max="2" width="3.28125" style="0" hidden="1" customWidth="1"/>
    <col min="3" max="3" width="38.7109375" style="0" customWidth="1"/>
  </cols>
  <sheetData>
    <row r="1" spans="1:4" ht="15.75">
      <c r="A1" s="381" t="s">
        <v>959</v>
      </c>
      <c r="B1" s="381"/>
      <c r="C1" s="381"/>
      <c r="D1" s="381"/>
    </row>
    <row r="2" spans="1:4" ht="15.75">
      <c r="A2" s="382" t="s">
        <v>244</v>
      </c>
      <c r="B2" s="382"/>
      <c r="C2" s="382"/>
      <c r="D2" s="382"/>
    </row>
    <row r="3" spans="1:4" s="55" customFormat="1" ht="15.75">
      <c r="A3" s="382" t="s">
        <v>1146</v>
      </c>
      <c r="B3" s="382"/>
      <c r="C3" s="382"/>
      <c r="D3" s="382"/>
    </row>
    <row r="4" spans="1:4" s="55" customFormat="1" ht="15.75">
      <c r="A4" s="107"/>
      <c r="B4" s="107"/>
      <c r="C4" s="89"/>
      <c r="D4" s="89"/>
    </row>
    <row r="5" spans="1:4" ht="30">
      <c r="A5" s="383" t="s">
        <v>229</v>
      </c>
      <c r="B5" s="384"/>
      <c r="C5" s="86" t="s">
        <v>231</v>
      </c>
      <c r="D5" s="85" t="s">
        <v>532</v>
      </c>
    </row>
    <row r="6" spans="1:4" ht="15">
      <c r="A6" s="383" t="s">
        <v>229</v>
      </c>
      <c r="B6" s="384"/>
      <c r="C6" s="73"/>
      <c r="D6" s="73"/>
    </row>
    <row r="7" spans="1:4" ht="15.75" thickBot="1">
      <c r="A7" s="379" t="s">
        <v>0</v>
      </c>
      <c r="B7" s="380"/>
      <c r="C7" s="76"/>
      <c r="D7" s="76"/>
    </row>
    <row r="8" spans="1:4" ht="15">
      <c r="A8" s="435" t="s">
        <v>24</v>
      </c>
      <c r="B8" s="436"/>
      <c r="C8" s="77"/>
      <c r="D8" s="77"/>
    </row>
    <row r="9" spans="1:4" ht="15">
      <c r="A9" s="435" t="s">
        <v>236</v>
      </c>
      <c r="B9" s="436"/>
      <c r="C9" s="77"/>
      <c r="D9" s="77"/>
    </row>
    <row r="10" spans="1:4" ht="15.75" thickBot="1">
      <c r="A10" s="451" t="s">
        <v>28</v>
      </c>
      <c r="B10" s="445"/>
      <c r="C10" s="77"/>
      <c r="D10" s="77"/>
    </row>
    <row r="11" spans="1:4" ht="15.75" thickBot="1">
      <c r="A11" s="375" t="s">
        <v>29</v>
      </c>
      <c r="B11" s="376"/>
      <c r="C11" s="77"/>
      <c r="D11" s="77"/>
    </row>
    <row r="12" spans="1:4" ht="15">
      <c r="A12" s="433" t="s">
        <v>45</v>
      </c>
      <c r="B12" s="434"/>
      <c r="C12" s="77"/>
      <c r="D12" s="77"/>
    </row>
    <row r="13" spans="1:4" ht="15.75" thickBot="1">
      <c r="A13" s="449" t="s">
        <v>55</v>
      </c>
      <c r="B13" s="450"/>
      <c r="C13" s="77"/>
      <c r="D13" s="77"/>
    </row>
    <row r="14" spans="1:4" ht="15.75" thickBot="1">
      <c r="A14" s="377" t="s">
        <v>56</v>
      </c>
      <c r="B14" s="378"/>
      <c r="C14" s="77"/>
      <c r="D14" s="77"/>
    </row>
    <row r="15" spans="1:4" ht="15.75" thickBot="1">
      <c r="A15" s="375" t="s">
        <v>57</v>
      </c>
      <c r="B15" s="376"/>
      <c r="C15" s="77"/>
      <c r="D15" s="77"/>
    </row>
    <row r="16" spans="1:4" ht="15.75" thickBot="1">
      <c r="A16" s="191" t="s">
        <v>792</v>
      </c>
      <c r="B16" s="192"/>
      <c r="C16" s="72" t="s">
        <v>370</v>
      </c>
      <c r="D16" s="72">
        <f>130+175</f>
        <v>305</v>
      </c>
    </row>
    <row r="17" spans="1:4" ht="15">
      <c r="A17" s="499" t="s">
        <v>563</v>
      </c>
      <c r="B17" s="500"/>
      <c r="C17" s="72" t="s">
        <v>279</v>
      </c>
      <c r="D17" s="72">
        <v>0.25</v>
      </c>
    </row>
    <row r="18" spans="1:4" ht="15" customHeight="1">
      <c r="A18" s="435" t="s">
        <v>59</v>
      </c>
      <c r="B18" s="436"/>
      <c r="C18" s="77"/>
      <c r="D18" s="77"/>
    </row>
    <row r="19" spans="1:4" ht="15">
      <c r="A19" s="436" t="s">
        <v>60</v>
      </c>
      <c r="B19" s="447"/>
      <c r="C19" s="77"/>
      <c r="D19" s="77"/>
    </row>
    <row r="20" spans="1:4" ht="15">
      <c r="A20" s="436" t="s">
        <v>61</v>
      </c>
      <c r="B20" s="447"/>
      <c r="C20" s="77"/>
      <c r="D20" s="77"/>
    </row>
    <row r="21" spans="1:4" ht="15" customHeight="1">
      <c r="A21" s="436" t="s">
        <v>62</v>
      </c>
      <c r="B21" s="447"/>
      <c r="C21" s="77"/>
      <c r="D21" s="77"/>
    </row>
    <row r="22" spans="1:4" ht="15.75" customHeight="1" thickBot="1">
      <c r="A22" s="445" t="s">
        <v>63</v>
      </c>
      <c r="B22" s="446"/>
      <c r="C22" s="77"/>
      <c r="D22" s="77"/>
    </row>
    <row r="23" spans="1:4" ht="15.75" thickBot="1">
      <c r="A23" s="387" t="s">
        <v>64</v>
      </c>
      <c r="B23" s="377"/>
      <c r="C23" s="77"/>
      <c r="D23" s="77"/>
    </row>
    <row r="24" spans="1:4" ht="15">
      <c r="A24" s="388" t="s">
        <v>66</v>
      </c>
      <c r="B24" s="389"/>
      <c r="C24" s="77"/>
      <c r="D24" s="77"/>
    </row>
    <row r="25" spans="1:4" ht="15" customHeight="1">
      <c r="A25" s="87" t="s">
        <v>343</v>
      </c>
      <c r="B25" s="140"/>
      <c r="C25" s="181" t="s">
        <v>369</v>
      </c>
      <c r="D25" s="199">
        <f>0.5+0.5</f>
        <v>1</v>
      </c>
    </row>
    <row r="26" spans="1:4" s="73" customFormat="1" ht="15" customHeight="1">
      <c r="A26" s="87" t="s">
        <v>1112</v>
      </c>
      <c r="B26" s="88"/>
      <c r="C26" s="72" t="s">
        <v>342</v>
      </c>
      <c r="D26" s="72">
        <v>1.5</v>
      </c>
    </row>
    <row r="27" spans="1:4" s="73" customFormat="1" ht="15">
      <c r="A27" s="87" t="s">
        <v>456</v>
      </c>
      <c r="B27" s="93"/>
      <c r="C27" s="72" t="s">
        <v>370</v>
      </c>
      <c r="D27" s="72">
        <v>0.4</v>
      </c>
    </row>
    <row r="28" spans="1:4" ht="15">
      <c r="A28" s="62" t="s">
        <v>237</v>
      </c>
      <c r="B28" s="63"/>
      <c r="C28" s="77"/>
      <c r="D28" s="77"/>
    </row>
    <row r="29" spans="1:4" ht="15" customHeight="1">
      <c r="A29" s="64" t="s">
        <v>238</v>
      </c>
      <c r="B29" s="65"/>
      <c r="C29" s="77"/>
      <c r="D29" s="77"/>
    </row>
    <row r="30" spans="1:4" ht="15" customHeight="1">
      <c r="A30" s="66" t="s">
        <v>80</v>
      </c>
      <c r="B30" s="67"/>
      <c r="C30" s="77"/>
      <c r="D30" s="77"/>
    </row>
    <row r="31" spans="1:4" ht="15" customHeight="1">
      <c r="A31" s="64" t="s">
        <v>82</v>
      </c>
      <c r="B31" s="65"/>
      <c r="C31" s="77"/>
      <c r="D31" s="77"/>
    </row>
    <row r="32" spans="1:4" ht="15">
      <c r="A32" s="64" t="s">
        <v>84</v>
      </c>
      <c r="B32" s="65"/>
      <c r="C32" s="77"/>
      <c r="D32" s="77"/>
    </row>
    <row r="33" spans="1:4" ht="15" customHeight="1">
      <c r="A33" s="64" t="s">
        <v>86</v>
      </c>
      <c r="B33" s="65"/>
      <c r="C33" s="77"/>
      <c r="D33" s="77"/>
    </row>
    <row r="34" spans="1:4" ht="15" customHeight="1">
      <c r="A34" s="68" t="s">
        <v>88</v>
      </c>
      <c r="B34" s="69"/>
      <c r="C34" s="77"/>
      <c r="D34" s="77"/>
    </row>
    <row r="35" spans="1:4" ht="15.75" thickBot="1">
      <c r="A35" s="390" t="s">
        <v>90</v>
      </c>
      <c r="B35" s="391"/>
      <c r="C35" s="77"/>
      <c r="D35" s="77"/>
    </row>
    <row r="36" spans="1:4" s="73" customFormat="1" ht="15.75" thickBot="1">
      <c r="A36" s="405" t="s">
        <v>1147</v>
      </c>
      <c r="B36" s="406"/>
      <c r="C36" s="72"/>
      <c r="D36" s="72">
        <f>536.63-154</f>
        <v>382.63</v>
      </c>
    </row>
    <row r="37" spans="1:4" ht="15">
      <c r="A37" s="252" t="s">
        <v>974</v>
      </c>
      <c r="B37" s="253"/>
      <c r="C37" s="72" t="s">
        <v>429</v>
      </c>
      <c r="D37" s="72">
        <f>175+130*1.75*2</f>
        <v>630</v>
      </c>
    </row>
    <row r="38" spans="1:4" ht="15">
      <c r="A38" s="252" t="s">
        <v>822</v>
      </c>
      <c r="B38" s="253"/>
      <c r="C38" s="72" t="s">
        <v>279</v>
      </c>
      <c r="D38" s="72">
        <f>130*0.5</f>
        <v>65</v>
      </c>
    </row>
    <row r="39" spans="1:4" ht="15">
      <c r="A39" s="90" t="s">
        <v>821</v>
      </c>
      <c r="B39" s="232"/>
      <c r="C39" s="72" t="s">
        <v>279</v>
      </c>
      <c r="D39" s="72">
        <v>240</v>
      </c>
    </row>
    <row r="40" spans="1:4" s="73" customFormat="1" ht="15">
      <c r="A40" s="186" t="s">
        <v>1150</v>
      </c>
      <c r="B40" s="91"/>
      <c r="C40" s="105" t="s">
        <v>1151</v>
      </c>
      <c r="D40" s="72">
        <f>4*130*1.5+350</f>
        <v>1130</v>
      </c>
    </row>
    <row r="41" spans="1:4" s="94" customFormat="1" ht="15">
      <c r="A41" s="229" t="s">
        <v>977</v>
      </c>
      <c r="B41" s="231"/>
      <c r="C41" s="72" t="s">
        <v>817</v>
      </c>
      <c r="D41" s="72">
        <f>130+175</f>
        <v>305</v>
      </c>
    </row>
    <row r="42" spans="1:4" ht="15" customHeight="1">
      <c r="A42" s="401" t="s">
        <v>979</v>
      </c>
      <c r="B42" s="402"/>
      <c r="C42" s="181" t="s">
        <v>279</v>
      </c>
      <c r="D42" s="199">
        <v>0.5</v>
      </c>
    </row>
    <row r="43" spans="1:4" ht="20.25" customHeight="1">
      <c r="A43" s="401" t="s">
        <v>1057</v>
      </c>
      <c r="B43" s="402"/>
      <c r="C43" s="105" t="s">
        <v>1154</v>
      </c>
      <c r="D43" s="72">
        <f>1.5+1.5+1.5</f>
        <v>4.5</v>
      </c>
    </row>
    <row r="44" spans="1:4" s="73" customFormat="1" ht="15" customHeight="1">
      <c r="A44" s="401" t="s">
        <v>1156</v>
      </c>
      <c r="B44" s="402"/>
      <c r="C44" s="72" t="s">
        <v>1157</v>
      </c>
      <c r="D44" s="72">
        <f>1.5*2</f>
        <v>3</v>
      </c>
    </row>
    <row r="45" spans="1:4" s="73" customFormat="1" ht="15" customHeight="1">
      <c r="A45" s="401" t="s">
        <v>586</v>
      </c>
      <c r="B45" s="402"/>
      <c r="C45" s="72" t="s">
        <v>447</v>
      </c>
      <c r="D45" s="72">
        <v>6</v>
      </c>
    </row>
    <row r="46" spans="1:4" s="73" customFormat="1" ht="15" customHeight="1">
      <c r="A46" s="401" t="s">
        <v>675</v>
      </c>
      <c r="B46" s="402"/>
      <c r="C46" s="72" t="s">
        <v>447</v>
      </c>
      <c r="D46" s="72">
        <v>2</v>
      </c>
    </row>
    <row r="47" spans="1:4" s="73" customFormat="1" ht="15" customHeight="1">
      <c r="A47" s="401" t="s">
        <v>1159</v>
      </c>
      <c r="B47" s="402"/>
      <c r="C47" s="72" t="s">
        <v>1017</v>
      </c>
      <c r="D47" s="72">
        <v>9</v>
      </c>
    </row>
    <row r="48" spans="1:4" s="73" customFormat="1" ht="15" customHeight="1">
      <c r="A48" s="401" t="s">
        <v>1131</v>
      </c>
      <c r="B48" s="402"/>
      <c r="C48" s="72" t="s">
        <v>1132</v>
      </c>
      <c r="D48" s="72">
        <v>6</v>
      </c>
    </row>
    <row r="49" spans="1:4" s="73" customFormat="1" ht="15" customHeight="1">
      <c r="A49" s="87" t="s">
        <v>900</v>
      </c>
      <c r="B49" s="88"/>
      <c r="C49" s="72" t="s">
        <v>279</v>
      </c>
      <c r="D49" s="72">
        <v>2</v>
      </c>
    </row>
    <row r="50" spans="1:4" s="73" customFormat="1" ht="15">
      <c r="A50" s="402" t="s">
        <v>907</v>
      </c>
      <c r="B50" s="413"/>
      <c r="C50" s="72" t="s">
        <v>908</v>
      </c>
      <c r="D50" s="72">
        <v>1.7</v>
      </c>
    </row>
    <row r="51" spans="1:4" s="73" customFormat="1" ht="15">
      <c r="A51" s="402" t="s">
        <v>909</v>
      </c>
      <c r="B51" s="413"/>
      <c r="C51" s="72" t="s">
        <v>910</v>
      </c>
      <c r="D51" s="72">
        <v>1.5</v>
      </c>
    </row>
    <row r="52" spans="1:4" s="73" customFormat="1" ht="18" customHeight="1">
      <c r="A52" s="228" t="s">
        <v>1089</v>
      </c>
      <c r="B52" s="231"/>
      <c r="C52" s="72" t="s">
        <v>1090</v>
      </c>
      <c r="D52" s="72">
        <v>1.5</v>
      </c>
    </row>
    <row r="53" spans="1:4" s="73" customFormat="1" ht="15" customHeight="1">
      <c r="A53" s="202" t="s">
        <v>1091</v>
      </c>
      <c r="B53" s="254"/>
      <c r="C53" s="105" t="s">
        <v>1092</v>
      </c>
      <c r="D53" s="72">
        <v>1.5</v>
      </c>
    </row>
    <row r="54" spans="1:4" s="73" customFormat="1" ht="26.25" customHeight="1">
      <c r="A54" s="402" t="s">
        <v>1161</v>
      </c>
      <c r="B54" s="413"/>
      <c r="C54" s="72" t="s">
        <v>1162</v>
      </c>
      <c r="D54" s="72">
        <v>3</v>
      </c>
    </row>
    <row r="55" spans="1:4" s="73" customFormat="1" ht="15">
      <c r="A55" s="402" t="s">
        <v>1093</v>
      </c>
      <c r="B55" s="413"/>
      <c r="C55" s="72" t="s">
        <v>1094</v>
      </c>
      <c r="D55" s="72">
        <v>1.1</v>
      </c>
    </row>
    <row r="56" spans="1:4" ht="15.75" customHeight="1" thickBot="1">
      <c r="A56" s="439" t="s">
        <v>98</v>
      </c>
      <c r="B56" s="440"/>
      <c r="C56" s="77"/>
      <c r="D56" s="77"/>
    </row>
    <row r="57" spans="1:4" ht="15.75" thickBot="1">
      <c r="A57" s="377" t="s">
        <v>99</v>
      </c>
      <c r="B57" s="378"/>
      <c r="C57" s="77"/>
      <c r="D57" s="77"/>
    </row>
    <row r="58" spans="1:4" ht="30.75" customHeight="1" thickBot="1">
      <c r="A58" s="501" t="s">
        <v>307</v>
      </c>
      <c r="B58" s="502"/>
      <c r="C58" s="78" t="s">
        <v>408</v>
      </c>
      <c r="D58" s="80" t="s">
        <v>415</v>
      </c>
    </row>
    <row r="59" spans="1:4" ht="15.75" thickBot="1">
      <c r="A59" s="377" t="s">
        <v>101</v>
      </c>
      <c r="B59" s="378"/>
      <c r="C59" s="77"/>
      <c r="D59" s="77"/>
    </row>
    <row r="60" spans="1:4" ht="15.75" thickBot="1">
      <c r="A60" s="443" t="s">
        <v>102</v>
      </c>
      <c r="B60" s="375"/>
      <c r="C60" s="77" t="s">
        <v>243</v>
      </c>
      <c r="D60" s="77"/>
    </row>
    <row r="61" spans="1:4" s="73" customFormat="1" ht="15">
      <c r="A61" s="90" t="s">
        <v>1148</v>
      </c>
      <c r="B61" s="91"/>
      <c r="C61" s="72" t="s">
        <v>1028</v>
      </c>
      <c r="D61" s="72">
        <f>130+24</f>
        <v>154</v>
      </c>
    </row>
    <row r="62" spans="1:4" s="73" customFormat="1" ht="15">
      <c r="A62" s="90" t="s">
        <v>1149</v>
      </c>
      <c r="B62" s="91"/>
      <c r="C62" s="72" t="s">
        <v>1028</v>
      </c>
      <c r="D62" s="72">
        <f>130+24+175</f>
        <v>329</v>
      </c>
    </row>
    <row r="63" spans="1:4" s="73" customFormat="1" ht="15">
      <c r="A63" s="90" t="s">
        <v>1152</v>
      </c>
      <c r="B63" s="91"/>
      <c r="C63" s="72" t="s">
        <v>243</v>
      </c>
      <c r="D63" s="72">
        <f>130+16+175</f>
        <v>321</v>
      </c>
    </row>
    <row r="64" spans="1:4" ht="15">
      <c r="A64" s="90" t="s">
        <v>1153</v>
      </c>
      <c r="B64" s="135"/>
      <c r="C64" s="199"/>
      <c r="D64" s="199">
        <v>1.5</v>
      </c>
    </row>
    <row r="65" spans="1:4" s="73" customFormat="1" ht="15">
      <c r="A65" s="90" t="s">
        <v>1155</v>
      </c>
      <c r="B65" s="91"/>
      <c r="C65" s="72" t="s">
        <v>243</v>
      </c>
      <c r="D65" s="72">
        <v>1.5</v>
      </c>
    </row>
    <row r="66" spans="1:4" s="73" customFormat="1" ht="15">
      <c r="A66" s="228" t="s">
        <v>478</v>
      </c>
      <c r="B66" s="240"/>
      <c r="C66" s="72" t="s">
        <v>243</v>
      </c>
      <c r="D66" s="72">
        <v>0.5</v>
      </c>
    </row>
    <row r="67" spans="1:4" s="73" customFormat="1" ht="28.5">
      <c r="A67" s="228" t="s">
        <v>1158</v>
      </c>
      <c r="B67" s="240"/>
      <c r="C67" s="72" t="s">
        <v>243</v>
      </c>
      <c r="D67" s="72">
        <v>1.5</v>
      </c>
    </row>
    <row r="68" spans="1:4" s="73" customFormat="1" ht="15">
      <c r="A68" s="167" t="s">
        <v>775</v>
      </c>
      <c r="B68" s="117"/>
      <c r="C68" s="72" t="s">
        <v>243</v>
      </c>
      <c r="D68" s="72">
        <v>1</v>
      </c>
    </row>
    <row r="69" spans="1:4" s="73" customFormat="1" ht="15">
      <c r="A69" s="228" t="s">
        <v>1160</v>
      </c>
      <c r="B69" s="240"/>
      <c r="C69" s="72" t="s">
        <v>243</v>
      </c>
      <c r="D69" s="72">
        <v>2</v>
      </c>
    </row>
    <row r="70" spans="1:4" s="73" customFormat="1" ht="15">
      <c r="A70" s="228" t="s">
        <v>1025</v>
      </c>
      <c r="B70" s="240"/>
      <c r="C70" s="72" t="s">
        <v>243</v>
      </c>
      <c r="D70" s="72">
        <v>1.5</v>
      </c>
    </row>
    <row r="71" spans="1:4" s="73" customFormat="1" ht="28.5">
      <c r="A71" s="228" t="s">
        <v>1163</v>
      </c>
      <c r="B71" s="240"/>
      <c r="C71" s="72" t="s">
        <v>243</v>
      </c>
      <c r="D71" s="72">
        <v>3</v>
      </c>
    </row>
    <row r="72" spans="1:4" s="73" customFormat="1" ht="15">
      <c r="A72" s="228" t="s">
        <v>1095</v>
      </c>
      <c r="B72" s="240"/>
      <c r="C72" s="72" t="s">
        <v>243</v>
      </c>
      <c r="D72" s="72">
        <v>1</v>
      </c>
    </row>
    <row r="73" spans="1:4" s="73" customFormat="1" ht="15">
      <c r="A73" s="167"/>
      <c r="B73" s="117"/>
      <c r="C73" s="72"/>
      <c r="D73" s="72"/>
    </row>
    <row r="74" spans="1:4" ht="15.75" thickBot="1">
      <c r="A74" s="395" t="s">
        <v>410</v>
      </c>
      <c r="B74" s="396"/>
      <c r="C74" s="77"/>
      <c r="D74" s="77"/>
    </row>
    <row r="75" spans="1:4" ht="15.75" thickBot="1">
      <c r="A75" s="397" t="s">
        <v>104</v>
      </c>
      <c r="B75" s="398"/>
      <c r="C75" s="77"/>
      <c r="D75" s="77"/>
    </row>
    <row r="76" spans="1:4" ht="15">
      <c r="A76" s="79"/>
      <c r="B76" s="79"/>
      <c r="C76" s="76"/>
      <c r="D76" s="76"/>
    </row>
    <row r="77" spans="1:4" ht="15.75">
      <c r="A77" s="394" t="s">
        <v>233</v>
      </c>
      <c r="B77" s="394"/>
      <c r="C77" s="394"/>
      <c r="D77" s="394"/>
    </row>
    <row r="78" spans="1:4" ht="15">
      <c r="A78" s="76"/>
      <c r="B78" s="76"/>
      <c r="C78" s="76"/>
      <c r="D78" s="76"/>
    </row>
    <row r="79" spans="1:4" ht="15.75">
      <c r="A79" s="394" t="s">
        <v>234</v>
      </c>
      <c r="B79" s="394"/>
      <c r="C79" s="394"/>
      <c r="D79" s="394"/>
    </row>
  </sheetData>
  <sheetProtection/>
  <mergeCells count="44">
    <mergeCell ref="A77:D77"/>
    <mergeCell ref="A79:D79"/>
    <mergeCell ref="A46:B46"/>
    <mergeCell ref="A48:B48"/>
    <mergeCell ref="A56:B56"/>
    <mergeCell ref="A57:B57"/>
    <mergeCell ref="A58:B58"/>
    <mergeCell ref="A59:B59"/>
    <mergeCell ref="A60:B60"/>
    <mergeCell ref="A74:B74"/>
    <mergeCell ref="A75:B75"/>
    <mergeCell ref="A54:B54"/>
    <mergeCell ref="A55:B55"/>
    <mergeCell ref="A12:B12"/>
    <mergeCell ref="A14:B14"/>
    <mergeCell ref="A15:B15"/>
    <mergeCell ref="A17:B17"/>
    <mergeCell ref="A18:B18"/>
    <mergeCell ref="A7:B7"/>
    <mergeCell ref="A8:B8"/>
    <mergeCell ref="A9:B9"/>
    <mergeCell ref="A10:B10"/>
    <mergeCell ref="A11:B11"/>
    <mergeCell ref="A1:D1"/>
    <mergeCell ref="A2:D2"/>
    <mergeCell ref="A3:D3"/>
    <mergeCell ref="A5:B5"/>
    <mergeCell ref="A6:B6"/>
    <mergeCell ref="A45:B45"/>
    <mergeCell ref="A47:B47"/>
    <mergeCell ref="A50:B50"/>
    <mergeCell ref="A51:B51"/>
    <mergeCell ref="A13:B13"/>
    <mergeCell ref="A19:B19"/>
    <mergeCell ref="A20:B20"/>
    <mergeCell ref="A21:B21"/>
    <mergeCell ref="A22:B22"/>
    <mergeCell ref="A23:B23"/>
    <mergeCell ref="A24:B24"/>
    <mergeCell ref="A35:B35"/>
    <mergeCell ref="A36:B36"/>
    <mergeCell ref="A42:B42"/>
    <mergeCell ref="A43:B43"/>
    <mergeCell ref="A44:B44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04"/>
  <sheetViews>
    <sheetView zoomScalePageLayoutView="0" workbookViewId="0" topLeftCell="A145">
      <selection activeCell="A166" sqref="A166:IV166"/>
    </sheetView>
  </sheetViews>
  <sheetFormatPr defaultColWidth="9.140625" defaultRowHeight="15"/>
  <cols>
    <col min="1" max="1" width="80.8515625" style="0" customWidth="1"/>
    <col min="2" max="2" width="3.28125" style="0" hidden="1" customWidth="1"/>
    <col min="3" max="3" width="31.421875" style="0" customWidth="1"/>
  </cols>
  <sheetData>
    <row r="1" spans="1:4" ht="15.75">
      <c r="A1" s="381" t="s">
        <v>959</v>
      </c>
      <c r="B1" s="381"/>
      <c r="C1" s="381"/>
      <c r="D1" s="381"/>
    </row>
    <row r="2" spans="1:4" ht="15.75">
      <c r="A2" s="382" t="s">
        <v>252</v>
      </c>
      <c r="B2" s="382"/>
      <c r="C2" s="382"/>
      <c r="D2" s="382"/>
    </row>
    <row r="3" spans="1:4" s="55" customFormat="1" ht="15.75">
      <c r="A3" s="382" t="s">
        <v>1164</v>
      </c>
      <c r="B3" s="382"/>
      <c r="C3" s="382"/>
      <c r="D3" s="382"/>
    </row>
    <row r="4" spans="1:4" s="55" customFormat="1" ht="15.75">
      <c r="A4" s="107"/>
      <c r="B4" s="107"/>
      <c r="C4" s="89"/>
      <c r="D4" s="89"/>
    </row>
    <row r="5" spans="1:4" ht="30">
      <c r="A5" s="383" t="s">
        <v>229</v>
      </c>
      <c r="B5" s="384"/>
      <c r="C5" s="86" t="s">
        <v>231</v>
      </c>
      <c r="D5" s="85" t="s">
        <v>530</v>
      </c>
    </row>
    <row r="6" spans="1:4" ht="15">
      <c r="A6" s="383" t="s">
        <v>229</v>
      </c>
      <c r="B6" s="384"/>
      <c r="C6" s="73"/>
      <c r="D6" s="73"/>
    </row>
    <row r="7" spans="1:4" ht="15.75" thickBot="1">
      <c r="A7" s="379" t="s">
        <v>0</v>
      </c>
      <c r="B7" s="380"/>
      <c r="C7" s="76"/>
      <c r="D7" s="76"/>
    </row>
    <row r="8" spans="1:4" ht="15">
      <c r="A8" s="435" t="s">
        <v>24</v>
      </c>
      <c r="B8" s="436"/>
      <c r="C8" s="77"/>
      <c r="D8" s="77"/>
    </row>
    <row r="9" spans="1:4" ht="15">
      <c r="A9" s="435" t="s">
        <v>236</v>
      </c>
      <c r="B9" s="436"/>
      <c r="C9" s="77"/>
      <c r="D9" s="77"/>
    </row>
    <row r="10" spans="1:4" ht="15.75" thickBot="1">
      <c r="A10" s="451" t="s">
        <v>28</v>
      </c>
      <c r="B10" s="445"/>
      <c r="C10" s="77"/>
      <c r="D10" s="77"/>
    </row>
    <row r="11" spans="1:4" ht="15.75" thickBot="1">
      <c r="A11" s="375" t="s">
        <v>29</v>
      </c>
      <c r="B11" s="376"/>
      <c r="C11" s="77"/>
      <c r="D11" s="77"/>
    </row>
    <row r="12" spans="1:4" ht="15">
      <c r="A12" s="433" t="s">
        <v>45</v>
      </c>
      <c r="B12" s="434"/>
      <c r="C12" s="77"/>
      <c r="D12" s="77"/>
    </row>
    <row r="13" spans="1:4" ht="15">
      <c r="A13" s="72" t="s">
        <v>1165</v>
      </c>
      <c r="B13" s="72"/>
      <c r="C13" s="77"/>
      <c r="D13" s="72">
        <v>153.16</v>
      </c>
    </row>
    <row r="14" spans="1:4" ht="15.75" thickBot="1">
      <c r="A14" s="449" t="s">
        <v>55</v>
      </c>
      <c r="B14" s="450"/>
      <c r="C14" s="77"/>
      <c r="D14" s="77"/>
    </row>
    <row r="15" spans="1:4" ht="15.75" thickBot="1">
      <c r="A15" s="377" t="s">
        <v>56</v>
      </c>
      <c r="B15" s="378"/>
      <c r="C15" s="77"/>
      <c r="D15" s="77"/>
    </row>
    <row r="16" spans="1:4" ht="15.75" thickBot="1">
      <c r="A16" s="375" t="s">
        <v>57</v>
      </c>
      <c r="B16" s="376"/>
      <c r="C16" s="77"/>
      <c r="D16" s="77"/>
    </row>
    <row r="17" spans="1:4" ht="16.5" customHeight="1">
      <c r="A17" s="90" t="s">
        <v>1166</v>
      </c>
      <c r="B17" s="232"/>
      <c r="C17" s="105" t="s">
        <v>770</v>
      </c>
      <c r="D17" s="72">
        <f>6*3*130+175</f>
        <v>2515</v>
      </c>
    </row>
    <row r="18" spans="1:4" ht="16.5" customHeight="1">
      <c r="A18" s="90" t="s">
        <v>1167</v>
      </c>
      <c r="B18" s="91"/>
      <c r="C18" s="105" t="s">
        <v>342</v>
      </c>
      <c r="D18" s="72">
        <f>4.5*130</f>
        <v>585</v>
      </c>
    </row>
    <row r="19" spans="1:4" ht="16.5" customHeight="1">
      <c r="A19" s="90" t="s">
        <v>1168</v>
      </c>
      <c r="B19" s="91"/>
      <c r="C19" s="105" t="s">
        <v>388</v>
      </c>
      <c r="D19" s="72">
        <f>4*130+175+7*130+6.5*130</f>
        <v>2450</v>
      </c>
    </row>
    <row r="20" spans="1:4" s="73" customFormat="1" ht="16.5" customHeight="1" thickBot="1">
      <c r="A20" s="226" t="s">
        <v>1169</v>
      </c>
      <c r="B20" s="264"/>
      <c r="C20" s="72" t="s">
        <v>823</v>
      </c>
      <c r="D20" s="72">
        <f>2*130+175+2.5*130</f>
        <v>760</v>
      </c>
    </row>
    <row r="21" spans="1:4" s="73" customFormat="1" ht="15.75" thickBot="1">
      <c r="A21" s="503" t="s">
        <v>1214</v>
      </c>
      <c r="B21" s="504"/>
      <c r="C21" s="72"/>
      <c r="D21" s="72">
        <f>2500+27.5+175</f>
        <v>2702.5</v>
      </c>
    </row>
    <row r="22" spans="1:4" s="73" customFormat="1" ht="15.75" thickBot="1">
      <c r="A22" s="257" t="s">
        <v>1216</v>
      </c>
      <c r="B22" s="230"/>
      <c r="C22" s="72" t="s">
        <v>360</v>
      </c>
      <c r="D22" s="72">
        <f>130*2</f>
        <v>260</v>
      </c>
    </row>
    <row r="23" spans="1:4" ht="15">
      <c r="A23" s="399" t="s">
        <v>1230</v>
      </c>
      <c r="B23" s="400"/>
      <c r="C23" s="181" t="s">
        <v>359</v>
      </c>
      <c r="D23" s="199">
        <f>1.2+1.2</f>
        <v>2.4</v>
      </c>
    </row>
    <row r="24" spans="1:4" ht="15" customHeight="1">
      <c r="A24" s="399" t="s">
        <v>1231</v>
      </c>
      <c r="B24" s="400"/>
      <c r="C24" s="181" t="s">
        <v>390</v>
      </c>
      <c r="D24" s="199">
        <v>2</v>
      </c>
    </row>
    <row r="25" spans="1:4" s="73" customFormat="1" ht="15">
      <c r="A25" s="399" t="s">
        <v>1239</v>
      </c>
      <c r="B25" s="400"/>
      <c r="C25" s="72" t="s">
        <v>390</v>
      </c>
      <c r="D25" s="72">
        <v>3</v>
      </c>
    </row>
    <row r="26" spans="1:4" s="73" customFormat="1" ht="15">
      <c r="A26" s="399" t="s">
        <v>1240</v>
      </c>
      <c r="B26" s="400"/>
      <c r="C26" s="72" t="s">
        <v>347</v>
      </c>
      <c r="D26" s="72">
        <f>3.5+1+1</f>
        <v>5.5</v>
      </c>
    </row>
    <row r="27" spans="1:4" s="73" customFormat="1" ht="15">
      <c r="A27" s="399" t="s">
        <v>1241</v>
      </c>
      <c r="B27" s="400"/>
      <c r="C27" s="72" t="s">
        <v>917</v>
      </c>
      <c r="D27" s="72">
        <v>1</v>
      </c>
    </row>
    <row r="28" spans="1:4" s="73" customFormat="1" ht="15">
      <c r="A28" s="400" t="s">
        <v>1242</v>
      </c>
      <c r="B28" s="448"/>
      <c r="C28" s="72" t="s">
        <v>342</v>
      </c>
      <c r="D28" s="72">
        <v>8</v>
      </c>
    </row>
    <row r="29" spans="1:4" s="73" customFormat="1" ht="15">
      <c r="A29" s="399" t="s">
        <v>474</v>
      </c>
      <c r="B29" s="400"/>
      <c r="C29" s="72" t="s">
        <v>401</v>
      </c>
      <c r="D29" s="72">
        <v>0.5</v>
      </c>
    </row>
    <row r="30" spans="1:4" s="73" customFormat="1" ht="15" customHeight="1">
      <c r="A30" s="399" t="s">
        <v>523</v>
      </c>
      <c r="B30" s="400"/>
      <c r="C30" s="72" t="s">
        <v>447</v>
      </c>
      <c r="D30" s="72">
        <v>2.8</v>
      </c>
    </row>
    <row r="31" spans="1:4" s="73" customFormat="1" ht="15">
      <c r="A31" s="400" t="s">
        <v>1265</v>
      </c>
      <c r="B31" s="448"/>
      <c r="C31" s="72" t="s">
        <v>1266</v>
      </c>
      <c r="D31" s="72">
        <f>0.5+0.5</f>
        <v>1</v>
      </c>
    </row>
    <row r="32" spans="1:4" s="73" customFormat="1" ht="15">
      <c r="A32" s="399" t="s">
        <v>1275</v>
      </c>
      <c r="B32" s="400"/>
      <c r="C32" s="72" t="s">
        <v>794</v>
      </c>
      <c r="D32" s="72">
        <v>4</v>
      </c>
    </row>
    <row r="33" spans="1:4" s="73" customFormat="1" ht="15" customHeight="1">
      <c r="A33" s="399" t="s">
        <v>576</v>
      </c>
      <c r="B33" s="400"/>
      <c r="C33" s="72" t="s">
        <v>577</v>
      </c>
      <c r="D33" s="72">
        <v>2</v>
      </c>
    </row>
    <row r="34" spans="1:4" s="73" customFormat="1" ht="15">
      <c r="A34" s="400" t="s">
        <v>618</v>
      </c>
      <c r="B34" s="448"/>
      <c r="C34" s="72" t="s">
        <v>347</v>
      </c>
      <c r="D34" s="72">
        <f>0.5+0.5</f>
        <v>1</v>
      </c>
    </row>
    <row r="35" spans="1:4" s="73" customFormat="1" ht="15">
      <c r="A35" s="399" t="s">
        <v>698</v>
      </c>
      <c r="B35" s="400"/>
      <c r="C35" s="72" t="s">
        <v>699</v>
      </c>
      <c r="D35" s="72">
        <v>3</v>
      </c>
    </row>
    <row r="36" spans="1:4" s="73" customFormat="1" ht="15">
      <c r="A36" s="400" t="s">
        <v>1286</v>
      </c>
      <c r="B36" s="448"/>
      <c r="C36" s="72" t="s">
        <v>1287</v>
      </c>
      <c r="D36" s="72">
        <v>4.5</v>
      </c>
    </row>
    <row r="37" spans="1:4" s="73" customFormat="1" ht="15">
      <c r="A37" s="400" t="s">
        <v>1288</v>
      </c>
      <c r="B37" s="448"/>
      <c r="C37" s="72" t="s">
        <v>1287</v>
      </c>
      <c r="D37" s="72">
        <v>4.5</v>
      </c>
    </row>
    <row r="38" spans="1:4" s="73" customFormat="1" ht="15">
      <c r="A38" s="400" t="s">
        <v>1289</v>
      </c>
      <c r="B38" s="448"/>
      <c r="C38" s="72" t="s">
        <v>1287</v>
      </c>
      <c r="D38" s="72">
        <v>6</v>
      </c>
    </row>
    <row r="39" spans="1:4" s="73" customFormat="1" ht="15">
      <c r="A39" s="400" t="s">
        <v>1290</v>
      </c>
      <c r="B39" s="448"/>
      <c r="C39" s="72" t="s">
        <v>1287</v>
      </c>
      <c r="D39" s="72">
        <v>8</v>
      </c>
    </row>
    <row r="40" spans="1:4" s="73" customFormat="1" ht="15.75" thickBot="1">
      <c r="A40" s="400" t="s">
        <v>1295</v>
      </c>
      <c r="B40" s="448"/>
      <c r="C40" s="72" t="s">
        <v>1296</v>
      </c>
      <c r="D40" s="72">
        <v>1</v>
      </c>
    </row>
    <row r="41" spans="1:4" ht="15.75" thickBot="1">
      <c r="A41" s="387" t="s">
        <v>64</v>
      </c>
      <c r="B41" s="377"/>
      <c r="C41" s="77"/>
      <c r="D41" s="77"/>
    </row>
    <row r="42" spans="1:4" ht="15">
      <c r="A42" s="388" t="s">
        <v>66</v>
      </c>
      <c r="B42" s="389"/>
      <c r="C42" s="77"/>
      <c r="D42" s="77"/>
    </row>
    <row r="43" spans="1:4" ht="15">
      <c r="A43" s="60" t="s">
        <v>68</v>
      </c>
      <c r="B43" s="61"/>
      <c r="C43" s="77"/>
      <c r="D43" s="77"/>
    </row>
    <row r="44" spans="1:4" ht="15">
      <c r="A44" s="193" t="s">
        <v>1217</v>
      </c>
      <c r="B44" s="269"/>
      <c r="C44" s="72" t="s">
        <v>390</v>
      </c>
      <c r="D44" s="72">
        <f>7*130+175</f>
        <v>1085</v>
      </c>
    </row>
    <row r="45" spans="1:4" ht="15">
      <c r="A45" s="193" t="s">
        <v>1218</v>
      </c>
      <c r="B45" s="269"/>
      <c r="C45" s="72" t="s">
        <v>385</v>
      </c>
      <c r="D45" s="72">
        <f>4*130*2+175</f>
        <v>1215</v>
      </c>
    </row>
    <row r="46" spans="1:4" ht="15">
      <c r="A46" s="87" t="s">
        <v>1232</v>
      </c>
      <c r="B46" s="138"/>
      <c r="C46" s="181" t="s">
        <v>309</v>
      </c>
      <c r="D46" s="199">
        <v>4</v>
      </c>
    </row>
    <row r="47" spans="1:4" ht="15" customHeight="1">
      <c r="A47" s="87" t="s">
        <v>344</v>
      </c>
      <c r="B47" s="140"/>
      <c r="C47" s="181" t="s">
        <v>369</v>
      </c>
      <c r="D47" s="199">
        <f>0.5+0.5</f>
        <v>1</v>
      </c>
    </row>
    <row r="48" spans="1:4" ht="15" customHeight="1">
      <c r="A48" s="87" t="s">
        <v>355</v>
      </c>
      <c r="B48" s="140"/>
      <c r="C48" s="181" t="s">
        <v>342</v>
      </c>
      <c r="D48" s="199">
        <v>2</v>
      </c>
    </row>
    <row r="49" spans="1:4" ht="15" customHeight="1">
      <c r="A49" s="87" t="s">
        <v>356</v>
      </c>
      <c r="B49" s="140"/>
      <c r="C49" s="181" t="s">
        <v>342</v>
      </c>
      <c r="D49" s="199">
        <v>3</v>
      </c>
    </row>
    <row r="50" spans="1:4" ht="15" customHeight="1">
      <c r="A50" s="202" t="s">
        <v>303</v>
      </c>
      <c r="B50" s="144"/>
      <c r="C50" s="181" t="s">
        <v>279</v>
      </c>
      <c r="D50" s="199">
        <v>1.5</v>
      </c>
    </row>
    <row r="51" spans="1:4" ht="15" customHeight="1">
      <c r="A51" s="270" t="s">
        <v>403</v>
      </c>
      <c r="B51" s="148"/>
      <c r="C51" s="181" t="s">
        <v>400</v>
      </c>
      <c r="D51" s="199">
        <v>8</v>
      </c>
    </row>
    <row r="52" spans="1:4" s="73" customFormat="1" ht="29.25" customHeight="1">
      <c r="A52" s="87" t="s">
        <v>1243</v>
      </c>
      <c r="B52" s="93"/>
      <c r="C52" s="105" t="s">
        <v>850</v>
      </c>
      <c r="D52" s="72">
        <f>2+1</f>
        <v>3</v>
      </c>
    </row>
    <row r="53" spans="1:4" s="73" customFormat="1" ht="15">
      <c r="A53" s="87" t="s">
        <v>1244</v>
      </c>
      <c r="B53" s="93"/>
      <c r="C53" s="72" t="s">
        <v>342</v>
      </c>
      <c r="D53" s="72">
        <v>2</v>
      </c>
    </row>
    <row r="54" spans="1:4" s="73" customFormat="1" ht="15">
      <c r="A54" s="87" t="s">
        <v>1245</v>
      </c>
      <c r="B54" s="93"/>
      <c r="C54" s="105" t="s">
        <v>1246</v>
      </c>
      <c r="D54" s="72">
        <f>1.5+1.5</f>
        <v>3</v>
      </c>
    </row>
    <row r="55" spans="1:4" s="73" customFormat="1" ht="15">
      <c r="A55" s="87" t="s">
        <v>1247</v>
      </c>
      <c r="B55" s="93"/>
      <c r="C55" s="72" t="s">
        <v>279</v>
      </c>
      <c r="D55" s="72">
        <v>1.5</v>
      </c>
    </row>
    <row r="56" spans="1:4" s="73" customFormat="1" ht="15">
      <c r="A56" s="87" t="s">
        <v>1248</v>
      </c>
      <c r="B56" s="93"/>
      <c r="C56" s="72" t="s">
        <v>279</v>
      </c>
      <c r="D56" s="72">
        <v>2</v>
      </c>
    </row>
    <row r="57" spans="1:4" s="73" customFormat="1" ht="15">
      <c r="A57" s="87" t="s">
        <v>1249</v>
      </c>
      <c r="B57" s="93"/>
      <c r="C57" s="72" t="s">
        <v>1250</v>
      </c>
      <c r="D57" s="72">
        <f>2+1.5</f>
        <v>3.5</v>
      </c>
    </row>
    <row r="58" spans="1:4" s="73" customFormat="1" ht="15">
      <c r="A58" s="87" t="s">
        <v>1251</v>
      </c>
      <c r="B58" s="93"/>
      <c r="C58" s="72" t="s">
        <v>714</v>
      </c>
      <c r="D58" s="72">
        <f>3.5+2+1.5</f>
        <v>7</v>
      </c>
    </row>
    <row r="59" spans="1:4" s="73" customFormat="1" ht="15">
      <c r="A59" s="87" t="s">
        <v>1252</v>
      </c>
      <c r="B59" s="93"/>
      <c r="C59" s="72" t="s">
        <v>328</v>
      </c>
      <c r="D59" s="72">
        <v>1.5</v>
      </c>
    </row>
    <row r="60" spans="1:4" s="73" customFormat="1" ht="15">
      <c r="A60" s="87" t="s">
        <v>1253</v>
      </c>
      <c r="B60" s="93"/>
      <c r="C60" s="72" t="s">
        <v>917</v>
      </c>
      <c r="D60" s="72">
        <v>1.5</v>
      </c>
    </row>
    <row r="61" spans="1:4" ht="15" customHeight="1">
      <c r="A61" s="87" t="s">
        <v>1254</v>
      </c>
      <c r="B61" s="88"/>
      <c r="C61" s="72" t="s">
        <v>360</v>
      </c>
      <c r="D61" s="72">
        <v>1.5</v>
      </c>
    </row>
    <row r="62" spans="1:4" ht="15" customHeight="1">
      <c r="A62" s="87" t="s">
        <v>1255</v>
      </c>
      <c r="B62" s="88"/>
      <c r="C62" s="72" t="s">
        <v>342</v>
      </c>
      <c r="D62" s="72">
        <v>2</v>
      </c>
    </row>
    <row r="63" spans="1:4" ht="15" customHeight="1">
      <c r="A63" s="87" t="s">
        <v>1256</v>
      </c>
      <c r="B63" s="88"/>
      <c r="C63" s="72" t="s">
        <v>390</v>
      </c>
      <c r="D63" s="72">
        <v>1.5</v>
      </c>
    </row>
    <row r="64" spans="1:4" ht="29.25" customHeight="1">
      <c r="A64" s="87" t="s">
        <v>1257</v>
      </c>
      <c r="B64" s="88"/>
      <c r="C64" s="105" t="s">
        <v>850</v>
      </c>
      <c r="D64" s="72">
        <f>1.5+1.5</f>
        <v>3</v>
      </c>
    </row>
    <row r="65" spans="1:4" s="73" customFormat="1" ht="15">
      <c r="A65" s="87" t="s">
        <v>456</v>
      </c>
      <c r="B65" s="93"/>
      <c r="C65" s="72" t="s">
        <v>370</v>
      </c>
      <c r="D65" s="72">
        <v>0.4</v>
      </c>
    </row>
    <row r="66" spans="1:4" s="73" customFormat="1" ht="33" customHeight="1">
      <c r="A66" s="108" t="s">
        <v>1267</v>
      </c>
      <c r="B66" s="88"/>
      <c r="C66" s="72" t="s">
        <v>1268</v>
      </c>
      <c r="D66" s="72">
        <v>2</v>
      </c>
    </row>
    <row r="67" spans="1:4" s="73" customFormat="1" ht="28.5">
      <c r="A67" s="108" t="s">
        <v>1276</v>
      </c>
      <c r="B67" s="61"/>
      <c r="C67" s="72" t="s">
        <v>1277</v>
      </c>
      <c r="D67" s="72">
        <v>6</v>
      </c>
    </row>
    <row r="68" spans="1:4" s="73" customFormat="1" ht="15">
      <c r="A68" s="108" t="s">
        <v>676</v>
      </c>
      <c r="B68" s="93"/>
      <c r="C68" s="72" t="s">
        <v>447</v>
      </c>
      <c r="D68" s="72">
        <v>2</v>
      </c>
    </row>
    <row r="69" spans="1:4" s="73" customFormat="1" ht="18" customHeight="1">
      <c r="A69" s="108" t="s">
        <v>734</v>
      </c>
      <c r="B69" s="88"/>
      <c r="C69" s="72" t="s">
        <v>447</v>
      </c>
      <c r="D69" s="72">
        <v>2</v>
      </c>
    </row>
    <row r="70" spans="1:4" s="73" customFormat="1" ht="15" customHeight="1">
      <c r="A70" s="402" t="s">
        <v>1280</v>
      </c>
      <c r="B70" s="413"/>
      <c r="C70" s="72" t="s">
        <v>695</v>
      </c>
      <c r="D70" s="72">
        <v>2.5</v>
      </c>
    </row>
    <row r="71" spans="1:4" s="73" customFormat="1" ht="18" customHeight="1">
      <c r="A71" s="108" t="s">
        <v>1281</v>
      </c>
      <c r="B71" s="88"/>
      <c r="C71" s="72" t="s">
        <v>1282</v>
      </c>
      <c r="D71" s="72">
        <v>8</v>
      </c>
    </row>
    <row r="72" spans="1:4" s="73" customFormat="1" ht="15" customHeight="1">
      <c r="A72" s="87" t="s">
        <v>1283</v>
      </c>
      <c r="B72" s="88"/>
      <c r="C72" s="72" t="s">
        <v>279</v>
      </c>
      <c r="D72" s="72">
        <v>2</v>
      </c>
    </row>
    <row r="73" spans="1:4" s="73" customFormat="1" ht="18.75" customHeight="1">
      <c r="A73" s="401" t="s">
        <v>1297</v>
      </c>
      <c r="B73" s="402"/>
      <c r="C73" s="85" t="s">
        <v>360</v>
      </c>
      <c r="D73" s="72">
        <v>1</v>
      </c>
    </row>
    <row r="74" spans="1:4" s="73" customFormat="1" ht="15" customHeight="1">
      <c r="A74" s="228" t="s">
        <v>1298</v>
      </c>
      <c r="B74" s="231"/>
      <c r="C74" s="72" t="s">
        <v>1299</v>
      </c>
      <c r="D74" s="72">
        <v>2</v>
      </c>
    </row>
    <row r="75" spans="1:4" s="73" customFormat="1" ht="15" customHeight="1">
      <c r="A75" s="87" t="s">
        <v>1300</v>
      </c>
      <c r="B75" s="88"/>
      <c r="C75" s="72" t="s">
        <v>1296</v>
      </c>
      <c r="D75" s="72">
        <v>2</v>
      </c>
    </row>
    <row r="76" spans="1:4" s="73" customFormat="1" ht="33" customHeight="1">
      <c r="A76" s="234" t="s">
        <v>905</v>
      </c>
      <c r="B76" s="235"/>
      <c r="C76" s="105" t="s">
        <v>906</v>
      </c>
      <c r="D76" s="72">
        <v>1.2</v>
      </c>
    </row>
    <row r="77" spans="1:4" s="73" customFormat="1" ht="16.5" customHeight="1">
      <c r="A77" s="234" t="s">
        <v>1304</v>
      </c>
      <c r="B77" s="235"/>
      <c r="C77" s="105" t="s">
        <v>1162</v>
      </c>
      <c r="D77" s="72">
        <v>1</v>
      </c>
    </row>
    <row r="78" spans="1:4" ht="15" customHeight="1">
      <c r="A78" s="62" t="s">
        <v>356</v>
      </c>
      <c r="B78" s="63"/>
      <c r="C78" s="77" t="s">
        <v>342</v>
      </c>
      <c r="D78" s="77">
        <v>3</v>
      </c>
    </row>
    <row r="79" spans="1:4" ht="15">
      <c r="A79" s="62" t="s">
        <v>237</v>
      </c>
      <c r="B79" s="63"/>
      <c r="C79" s="77"/>
      <c r="D79" s="77"/>
    </row>
    <row r="80" spans="1:4" ht="15" customHeight="1">
      <c r="A80" s="64" t="s">
        <v>238</v>
      </c>
      <c r="B80" s="65"/>
      <c r="C80" s="77"/>
      <c r="D80" s="77"/>
    </row>
    <row r="81" spans="1:4" ht="15" customHeight="1">
      <c r="A81" s="66" t="s">
        <v>80</v>
      </c>
      <c r="B81" s="67"/>
      <c r="C81" s="77"/>
      <c r="D81" s="77"/>
    </row>
    <row r="82" spans="1:4" ht="15" customHeight="1">
      <c r="A82" s="64" t="s">
        <v>82</v>
      </c>
      <c r="B82" s="65"/>
      <c r="C82" s="77"/>
      <c r="D82" s="77"/>
    </row>
    <row r="83" spans="1:4" ht="15">
      <c r="A83" s="64" t="s">
        <v>84</v>
      </c>
      <c r="B83" s="65"/>
      <c r="C83" s="77"/>
      <c r="D83" s="77"/>
    </row>
    <row r="84" spans="1:4" ht="15" customHeight="1">
      <c r="A84" s="64" t="s">
        <v>303</v>
      </c>
      <c r="B84" s="65"/>
      <c r="C84" s="77" t="s">
        <v>279</v>
      </c>
      <c r="D84" s="77">
        <v>1.5</v>
      </c>
    </row>
    <row r="85" spans="1:4" ht="15" customHeight="1">
      <c r="A85" s="68" t="s">
        <v>403</v>
      </c>
      <c r="B85" s="69"/>
      <c r="C85" s="77" t="s">
        <v>400</v>
      </c>
      <c r="D85" s="77">
        <v>8</v>
      </c>
    </row>
    <row r="86" spans="1:4" ht="15">
      <c r="A86" s="390" t="s">
        <v>90</v>
      </c>
      <c r="B86" s="391"/>
      <c r="C86" s="77"/>
      <c r="D86" s="77"/>
    </row>
    <row r="87" spans="1:4" ht="30.75" customHeight="1">
      <c r="A87" s="90" t="s">
        <v>1170</v>
      </c>
      <c r="B87" s="232"/>
      <c r="C87" s="105" t="s">
        <v>1171</v>
      </c>
      <c r="D87" s="72">
        <f>6*130</f>
        <v>780</v>
      </c>
    </row>
    <row r="88" spans="1:4" ht="30">
      <c r="A88" s="90" t="s">
        <v>1172</v>
      </c>
      <c r="B88" s="232"/>
      <c r="C88" s="105" t="s">
        <v>1171</v>
      </c>
      <c r="D88" s="72">
        <f>3*130</f>
        <v>390</v>
      </c>
    </row>
    <row r="89" spans="1:4" ht="15">
      <c r="A89" s="90" t="s">
        <v>1173</v>
      </c>
      <c r="B89" s="232"/>
      <c r="C89" s="72" t="s">
        <v>481</v>
      </c>
      <c r="D89" s="72">
        <f>4*130</f>
        <v>520</v>
      </c>
    </row>
    <row r="90" spans="1:4" ht="15">
      <c r="A90" s="90" t="s">
        <v>1174</v>
      </c>
      <c r="B90" s="232"/>
      <c r="C90" s="72" t="s">
        <v>1175</v>
      </c>
      <c r="D90" s="72">
        <f>3*130+175</f>
        <v>565</v>
      </c>
    </row>
    <row r="91" spans="1:4" ht="30">
      <c r="A91" s="90" t="s">
        <v>1176</v>
      </c>
      <c r="B91" s="232"/>
      <c r="C91" s="105" t="s">
        <v>1177</v>
      </c>
      <c r="D91" s="72">
        <f>3.2*130+175+3.4*130+7.35*130*2</f>
        <v>2944</v>
      </c>
    </row>
    <row r="92" spans="1:4" ht="15">
      <c r="A92" s="90" t="s">
        <v>1178</v>
      </c>
      <c r="B92" s="232"/>
      <c r="C92" s="72" t="s">
        <v>358</v>
      </c>
      <c r="D92" s="72">
        <f>6*130*2+175</f>
        <v>1735</v>
      </c>
    </row>
    <row r="93" spans="1:4" ht="15">
      <c r="A93" s="90" t="s">
        <v>1179</v>
      </c>
      <c r="B93" s="232"/>
      <c r="C93" s="72" t="s">
        <v>433</v>
      </c>
      <c r="D93" s="72">
        <f>130*2+175</f>
        <v>435</v>
      </c>
    </row>
    <row r="94" spans="1:4" ht="30.75" customHeight="1">
      <c r="A94" s="90" t="s">
        <v>1180</v>
      </c>
      <c r="B94" s="232"/>
      <c r="C94" s="105" t="s">
        <v>1181</v>
      </c>
      <c r="D94" s="72">
        <f>(1.5+2+3.4)*130*3+175+3.5*130+1.5*130</f>
        <v>3516</v>
      </c>
    </row>
    <row r="95" spans="1:4" ht="15">
      <c r="A95" s="90" t="s">
        <v>1182</v>
      </c>
      <c r="B95" s="181"/>
      <c r="C95" s="110" t="s">
        <v>613</v>
      </c>
      <c r="D95" s="181">
        <f>2*130+175</f>
        <v>435</v>
      </c>
    </row>
    <row r="96" spans="1:4" ht="15">
      <c r="A96" s="90" t="s">
        <v>1183</v>
      </c>
      <c r="B96" s="181"/>
      <c r="C96" s="110" t="s">
        <v>1184</v>
      </c>
      <c r="D96" s="181">
        <f>5*130+175+130</f>
        <v>955</v>
      </c>
    </row>
    <row r="97" spans="1:4" ht="15">
      <c r="A97" s="90" t="s">
        <v>1185</v>
      </c>
      <c r="B97" s="181"/>
      <c r="C97" s="110" t="s">
        <v>1184</v>
      </c>
      <c r="D97" s="181">
        <f>2*130*2</f>
        <v>520</v>
      </c>
    </row>
    <row r="98" spans="1:4" ht="15">
      <c r="A98" s="90" t="s">
        <v>1186</v>
      </c>
      <c r="B98" s="181"/>
      <c r="C98" s="110" t="s">
        <v>1187</v>
      </c>
      <c r="D98" s="181">
        <f>1.5*130*3+175</f>
        <v>760</v>
      </c>
    </row>
    <row r="99" spans="1:4" ht="15">
      <c r="A99" s="90" t="s">
        <v>1188</v>
      </c>
      <c r="B99" s="55"/>
      <c r="C99" s="265" t="s">
        <v>850</v>
      </c>
      <c r="D99" s="266">
        <f>2*130+175+0.2*130</f>
        <v>461</v>
      </c>
    </row>
    <row r="100" spans="1:4" ht="15">
      <c r="A100" s="90" t="s">
        <v>1189</v>
      </c>
      <c r="B100" s="55"/>
      <c r="C100" s="265" t="s">
        <v>850</v>
      </c>
      <c r="D100" s="266">
        <f>130*2+50</f>
        <v>310</v>
      </c>
    </row>
    <row r="101" spans="1:4" ht="15">
      <c r="A101" s="90" t="s">
        <v>1190</v>
      </c>
      <c r="B101" s="55"/>
      <c r="C101" s="265" t="s">
        <v>850</v>
      </c>
      <c r="D101" s="266">
        <f>0.3*130*2</f>
        <v>78</v>
      </c>
    </row>
    <row r="102" spans="1:4" ht="15">
      <c r="A102" s="90" t="s">
        <v>1191</v>
      </c>
      <c r="B102" s="55"/>
      <c r="C102" s="265" t="s">
        <v>1192</v>
      </c>
      <c r="D102" s="266">
        <f>3*130*2+175</f>
        <v>955</v>
      </c>
    </row>
    <row r="103" spans="1:4" ht="30">
      <c r="A103" s="90" t="s">
        <v>1193</v>
      </c>
      <c r="B103" s="91"/>
      <c r="C103" s="256" t="s">
        <v>1194</v>
      </c>
      <c r="D103" s="183">
        <f>4.5*130+175+7*130+6.5*130+4*130*2</f>
        <v>3555</v>
      </c>
    </row>
    <row r="104" spans="1:4" ht="30">
      <c r="A104" s="90" t="s">
        <v>1195</v>
      </c>
      <c r="B104" s="91"/>
      <c r="C104" s="256" t="s">
        <v>1196</v>
      </c>
      <c r="D104" s="183">
        <f>6*130*3+4*130</f>
        <v>2860</v>
      </c>
    </row>
    <row r="105" spans="1:4" ht="15">
      <c r="A105" s="90" t="s">
        <v>1197</v>
      </c>
      <c r="B105" s="91"/>
      <c r="C105" s="183" t="s">
        <v>342</v>
      </c>
      <c r="D105" s="183">
        <f>1.5*130+175</f>
        <v>370</v>
      </c>
    </row>
    <row r="106" spans="1:4" ht="15">
      <c r="A106" s="90" t="s">
        <v>1198</v>
      </c>
      <c r="B106" s="91"/>
      <c r="C106" s="183" t="s">
        <v>850</v>
      </c>
      <c r="D106" s="183">
        <f>130*2</f>
        <v>260</v>
      </c>
    </row>
    <row r="107" spans="1:4" ht="30">
      <c r="A107" s="90" t="s">
        <v>1199</v>
      </c>
      <c r="B107" s="91"/>
      <c r="C107" s="256" t="s">
        <v>1200</v>
      </c>
      <c r="D107" s="183">
        <f>6.5*130*5+175</f>
        <v>4400</v>
      </c>
    </row>
    <row r="108" spans="1:4" s="73" customFormat="1" ht="45.75" thickBot="1">
      <c r="A108" s="226" t="s">
        <v>1201</v>
      </c>
      <c r="B108" s="264"/>
      <c r="C108" s="105" t="s">
        <v>1202</v>
      </c>
      <c r="D108" s="72">
        <f>6.5*130*4+175</f>
        <v>3555</v>
      </c>
    </row>
    <row r="109" spans="1:4" ht="15">
      <c r="A109" s="90" t="s">
        <v>1203</v>
      </c>
      <c r="C109" s="267" t="s">
        <v>823</v>
      </c>
      <c r="D109" s="181">
        <f>0.5*130+175+1*130</f>
        <v>370</v>
      </c>
    </row>
    <row r="110" spans="1:4" ht="30">
      <c r="A110" s="186" t="s">
        <v>1204</v>
      </c>
      <c r="C110" s="268" t="s">
        <v>1205</v>
      </c>
      <c r="D110" s="181">
        <f>7.5*130*3+175</f>
        <v>3100</v>
      </c>
    </row>
    <row r="111" spans="1:4" ht="45">
      <c r="A111" s="90" t="s">
        <v>1206</v>
      </c>
      <c r="B111" s="232"/>
      <c r="C111" s="105" t="s">
        <v>1207</v>
      </c>
      <c r="D111" s="72">
        <f>8*130+350+130*4.5*3+130*4.5+4*130</f>
        <v>4250</v>
      </c>
    </row>
    <row r="112" spans="1:4" ht="15">
      <c r="A112" s="90" t="s">
        <v>1208</v>
      </c>
      <c r="B112" s="232"/>
      <c r="C112" s="105" t="s">
        <v>823</v>
      </c>
      <c r="D112" s="72">
        <f>4.2*130*2+350</f>
        <v>1442</v>
      </c>
    </row>
    <row r="113" spans="1:4" s="73" customFormat="1" ht="15" customHeight="1">
      <c r="A113" s="401" t="s">
        <v>1215</v>
      </c>
      <c r="B113" s="402"/>
      <c r="C113" s="72"/>
      <c r="D113" s="72">
        <f>94700.74+53453.25+3150</f>
        <v>151303.99</v>
      </c>
    </row>
    <row r="114" spans="1:4" s="73" customFormat="1" ht="15">
      <c r="A114" s="228" t="s">
        <v>1219</v>
      </c>
      <c r="B114" s="229"/>
      <c r="C114" s="72" t="s">
        <v>342</v>
      </c>
      <c r="D114" s="72">
        <f>130+175</f>
        <v>305</v>
      </c>
    </row>
    <row r="115" spans="1:4" ht="15">
      <c r="A115" s="90" t="s">
        <v>1220</v>
      </c>
      <c r="B115" s="232"/>
      <c r="C115" s="72" t="s">
        <v>917</v>
      </c>
      <c r="D115" s="72">
        <f>130*8*2+175</f>
        <v>2255</v>
      </c>
    </row>
    <row r="116" spans="1:4" ht="15">
      <c r="A116" s="90" t="s">
        <v>1221</v>
      </c>
      <c r="B116" s="232"/>
      <c r="C116" s="72" t="s">
        <v>378</v>
      </c>
      <c r="D116" s="72">
        <f>175+130*2</f>
        <v>435</v>
      </c>
    </row>
    <row r="117" spans="1:4" ht="15">
      <c r="A117" s="90" t="s">
        <v>1222</v>
      </c>
      <c r="B117" s="232"/>
      <c r="C117" s="72" t="s">
        <v>378</v>
      </c>
      <c r="D117" s="72">
        <f>175+8*130*2</f>
        <v>2255</v>
      </c>
    </row>
    <row r="118" spans="1:4" ht="15">
      <c r="A118" s="90" t="s">
        <v>1223</v>
      </c>
      <c r="B118" s="232"/>
      <c r="C118" s="72" t="s">
        <v>714</v>
      </c>
      <c r="D118" s="72">
        <f>8*130*2+175</f>
        <v>2255</v>
      </c>
    </row>
    <row r="119" spans="1:4" ht="15">
      <c r="A119" s="90" t="s">
        <v>822</v>
      </c>
      <c r="B119" s="232"/>
      <c r="C119" s="72" t="s">
        <v>279</v>
      </c>
      <c r="D119" s="72">
        <v>240</v>
      </c>
    </row>
    <row r="120" spans="1:4" ht="15">
      <c r="A120" s="90" t="s">
        <v>821</v>
      </c>
      <c r="B120" s="232"/>
      <c r="C120" s="72" t="s">
        <v>279</v>
      </c>
      <c r="D120" s="72">
        <v>240</v>
      </c>
    </row>
    <row r="121" spans="1:4" ht="15">
      <c r="A121" s="90" t="s">
        <v>1224</v>
      </c>
      <c r="B121" s="232"/>
      <c r="C121" s="72" t="s">
        <v>342</v>
      </c>
      <c r="D121" s="72">
        <f>2*130+175</f>
        <v>435</v>
      </c>
    </row>
    <row r="122" spans="1:4" ht="15">
      <c r="A122" s="90" t="s">
        <v>1225</v>
      </c>
      <c r="B122" s="232"/>
      <c r="C122" s="72" t="s">
        <v>369</v>
      </c>
      <c r="D122" s="72">
        <f>2*130*2+175</f>
        <v>695</v>
      </c>
    </row>
    <row r="123" spans="1:4" ht="15">
      <c r="A123" s="90" t="s">
        <v>1226</v>
      </c>
      <c r="B123" s="232"/>
      <c r="C123" s="72" t="s">
        <v>817</v>
      </c>
      <c r="D123" s="72">
        <f>130+175</f>
        <v>305</v>
      </c>
    </row>
    <row r="124" spans="1:4" ht="15">
      <c r="A124" s="90" t="s">
        <v>1227</v>
      </c>
      <c r="B124" s="232"/>
      <c r="C124" s="72" t="s">
        <v>309</v>
      </c>
      <c r="D124" s="72">
        <f>2*130+175</f>
        <v>435</v>
      </c>
    </row>
    <row r="125" spans="1:4" ht="15" customHeight="1">
      <c r="A125" s="401" t="s">
        <v>1233</v>
      </c>
      <c r="B125" s="402"/>
      <c r="C125" s="181" t="s">
        <v>279</v>
      </c>
      <c r="D125" s="199">
        <v>1</v>
      </c>
    </row>
    <row r="126" spans="1:4" ht="15" customHeight="1">
      <c r="A126" s="402" t="s">
        <v>1234</v>
      </c>
      <c r="B126" s="413"/>
      <c r="C126" s="181" t="s">
        <v>372</v>
      </c>
      <c r="D126" s="199">
        <f>1.5+1.5</f>
        <v>3</v>
      </c>
    </row>
    <row r="127" spans="1:4" ht="15" customHeight="1">
      <c r="A127" s="229" t="s">
        <v>1235</v>
      </c>
      <c r="B127" s="231"/>
      <c r="C127" s="181" t="s">
        <v>328</v>
      </c>
      <c r="D127" s="199">
        <v>8</v>
      </c>
    </row>
    <row r="128" spans="1:4" ht="15">
      <c r="A128" s="402" t="s">
        <v>1236</v>
      </c>
      <c r="B128" s="413"/>
      <c r="C128" s="181" t="s">
        <v>279</v>
      </c>
      <c r="D128" s="199">
        <v>2</v>
      </c>
    </row>
    <row r="129" spans="1:4" ht="15.75" customHeight="1">
      <c r="A129" s="424" t="s">
        <v>287</v>
      </c>
      <c r="B129" s="425"/>
      <c r="C129" s="181" t="s">
        <v>279</v>
      </c>
      <c r="D129" s="199">
        <v>2</v>
      </c>
    </row>
    <row r="130" spans="1:4" ht="15.75" customHeight="1">
      <c r="A130" s="401" t="s">
        <v>294</v>
      </c>
      <c r="B130" s="401"/>
      <c r="C130" s="181" t="s">
        <v>347</v>
      </c>
      <c r="D130" s="199">
        <f>1+1</f>
        <v>2</v>
      </c>
    </row>
    <row r="131" spans="1:4" ht="15.75" customHeight="1">
      <c r="A131" s="228" t="s">
        <v>351</v>
      </c>
      <c r="B131" s="116"/>
      <c r="C131" s="181" t="s">
        <v>342</v>
      </c>
      <c r="D131" s="199">
        <v>2</v>
      </c>
    </row>
    <row r="132" spans="1:4" ht="15.75" customHeight="1">
      <c r="A132" s="228" t="s">
        <v>353</v>
      </c>
      <c r="B132" s="116"/>
      <c r="C132" s="181" t="s">
        <v>342</v>
      </c>
      <c r="D132" s="199">
        <v>4</v>
      </c>
    </row>
    <row r="133" spans="1:4" s="73" customFormat="1" ht="33" customHeight="1">
      <c r="A133" s="401" t="s">
        <v>1258</v>
      </c>
      <c r="B133" s="402"/>
      <c r="C133" s="105" t="s">
        <v>850</v>
      </c>
      <c r="D133" s="72">
        <f>3+3</f>
        <v>6</v>
      </c>
    </row>
    <row r="134" spans="1:4" s="73" customFormat="1" ht="27.75" customHeight="1">
      <c r="A134" s="402" t="s">
        <v>1259</v>
      </c>
      <c r="B134" s="413"/>
      <c r="C134" s="105" t="s">
        <v>471</v>
      </c>
      <c r="D134" s="72">
        <f>1.5+1.5</f>
        <v>3</v>
      </c>
    </row>
    <row r="135" spans="1:4" s="73" customFormat="1" ht="15" customHeight="1">
      <c r="A135" s="229" t="s">
        <v>1260</v>
      </c>
      <c r="B135" s="231"/>
      <c r="C135" s="72" t="s">
        <v>328</v>
      </c>
      <c r="D135" s="72">
        <v>2.5</v>
      </c>
    </row>
    <row r="136" spans="1:4" s="73" customFormat="1" ht="15" customHeight="1">
      <c r="A136" s="229" t="s">
        <v>1261</v>
      </c>
      <c r="B136" s="231"/>
      <c r="C136" s="72" t="s">
        <v>328</v>
      </c>
      <c r="D136" s="72">
        <v>6</v>
      </c>
    </row>
    <row r="137" spans="1:4" ht="15" customHeight="1">
      <c r="A137" s="229" t="s">
        <v>1262</v>
      </c>
      <c r="B137" s="231"/>
      <c r="C137" s="72" t="s">
        <v>390</v>
      </c>
      <c r="D137" s="72">
        <v>0.5</v>
      </c>
    </row>
    <row r="138" spans="1:4" ht="15" customHeight="1">
      <c r="A138" s="229" t="s">
        <v>1263</v>
      </c>
      <c r="B138" s="231"/>
      <c r="C138" s="72" t="s">
        <v>360</v>
      </c>
      <c r="D138" s="72">
        <v>1.5</v>
      </c>
    </row>
    <row r="139" spans="1:4" s="73" customFormat="1" ht="15">
      <c r="A139" s="90" t="s">
        <v>1269</v>
      </c>
      <c r="B139" s="232"/>
      <c r="C139" s="72" t="s">
        <v>400</v>
      </c>
      <c r="D139" s="72">
        <v>1</v>
      </c>
    </row>
    <row r="140" spans="1:4" s="73" customFormat="1" ht="31.5" customHeight="1">
      <c r="A140" s="401" t="s">
        <v>1270</v>
      </c>
      <c r="B140" s="402"/>
      <c r="C140" s="72" t="s">
        <v>385</v>
      </c>
      <c r="D140" s="72">
        <v>2</v>
      </c>
    </row>
    <row r="141" spans="1:4" s="73" customFormat="1" ht="29.25" customHeight="1">
      <c r="A141" s="401" t="s">
        <v>483</v>
      </c>
      <c r="B141" s="402"/>
      <c r="C141" s="105" t="s">
        <v>484</v>
      </c>
      <c r="D141" s="72">
        <v>1.5</v>
      </c>
    </row>
    <row r="142" spans="1:4" s="73" customFormat="1" ht="32.25" customHeight="1">
      <c r="A142" s="229" t="s">
        <v>1271</v>
      </c>
      <c r="B142" s="231"/>
      <c r="C142" s="105" t="s">
        <v>1272</v>
      </c>
      <c r="D142" s="72">
        <v>6</v>
      </c>
    </row>
    <row r="143" spans="1:4" s="73" customFormat="1" ht="15">
      <c r="A143" s="90" t="s">
        <v>1278</v>
      </c>
      <c r="B143" s="232"/>
      <c r="C143" s="72" t="s">
        <v>279</v>
      </c>
      <c r="D143" s="72">
        <v>1</v>
      </c>
    </row>
    <row r="144" spans="1:4" s="73" customFormat="1" ht="19.5" customHeight="1">
      <c r="A144" s="401" t="s">
        <v>572</v>
      </c>
      <c r="B144" s="402"/>
      <c r="C144" s="72" t="s">
        <v>309</v>
      </c>
      <c r="D144" s="72">
        <v>1.5</v>
      </c>
    </row>
    <row r="145" spans="1:4" s="73" customFormat="1" ht="29.25" customHeight="1">
      <c r="A145" s="401" t="s">
        <v>579</v>
      </c>
      <c r="B145" s="402"/>
      <c r="C145" s="105" t="s">
        <v>577</v>
      </c>
      <c r="D145" s="72">
        <v>6</v>
      </c>
    </row>
    <row r="146" spans="1:4" s="73" customFormat="1" ht="21" customHeight="1">
      <c r="A146" s="229" t="s">
        <v>595</v>
      </c>
      <c r="B146" s="231"/>
      <c r="C146" s="105" t="s">
        <v>279</v>
      </c>
      <c r="D146" s="72">
        <v>1.5</v>
      </c>
    </row>
    <row r="147" spans="1:4" s="73" customFormat="1" ht="15">
      <c r="A147" s="402" t="s">
        <v>614</v>
      </c>
      <c r="B147" s="413"/>
      <c r="C147" s="72" t="s">
        <v>613</v>
      </c>
      <c r="D147" s="72">
        <v>6</v>
      </c>
    </row>
    <row r="148" spans="1:4" s="73" customFormat="1" ht="15.75" customHeight="1">
      <c r="A148" s="424" t="s">
        <v>612</v>
      </c>
      <c r="B148" s="425"/>
      <c r="C148" s="72" t="s">
        <v>279</v>
      </c>
      <c r="D148" s="72">
        <v>1</v>
      </c>
    </row>
    <row r="149" spans="1:4" s="73" customFormat="1" ht="15">
      <c r="A149" s="90" t="s">
        <v>696</v>
      </c>
      <c r="B149" s="173"/>
      <c r="C149" s="72" t="s">
        <v>697</v>
      </c>
      <c r="D149" s="72">
        <v>12</v>
      </c>
    </row>
    <row r="150" spans="1:4" s="73" customFormat="1" ht="15">
      <c r="A150" s="90" t="s">
        <v>1284</v>
      </c>
      <c r="B150" s="232"/>
      <c r="C150" s="72" t="s">
        <v>1285</v>
      </c>
      <c r="D150" s="72">
        <v>9</v>
      </c>
    </row>
    <row r="151" spans="1:4" s="73" customFormat="1" ht="15">
      <c r="A151" s="90" t="s">
        <v>1291</v>
      </c>
      <c r="B151" s="232"/>
      <c r="C151" s="72" t="s">
        <v>447</v>
      </c>
      <c r="D151" s="72">
        <v>5</v>
      </c>
    </row>
    <row r="152" spans="1:4" s="73" customFormat="1" ht="27" customHeight="1">
      <c r="A152" s="401" t="s">
        <v>1292</v>
      </c>
      <c r="B152" s="402"/>
      <c r="C152" s="105" t="s">
        <v>896</v>
      </c>
      <c r="D152" s="72">
        <v>5</v>
      </c>
    </row>
    <row r="153" spans="1:4" s="73" customFormat="1" ht="15">
      <c r="A153" s="92" t="s">
        <v>1301</v>
      </c>
      <c r="B153" s="72"/>
      <c r="C153" s="72" t="s">
        <v>1296</v>
      </c>
      <c r="D153" s="72">
        <v>1.5</v>
      </c>
    </row>
    <row r="154" spans="1:4" s="73" customFormat="1" ht="18.75" customHeight="1">
      <c r="A154" s="401" t="s">
        <v>1302</v>
      </c>
      <c r="B154" s="402"/>
      <c r="C154" s="105" t="s">
        <v>955</v>
      </c>
      <c r="D154" s="72">
        <v>6</v>
      </c>
    </row>
    <row r="155" spans="1:4" s="73" customFormat="1" ht="15">
      <c r="A155" s="402" t="s">
        <v>907</v>
      </c>
      <c r="B155" s="413"/>
      <c r="C155" s="72" t="s">
        <v>908</v>
      </c>
      <c r="D155" s="72">
        <v>2.25</v>
      </c>
    </row>
    <row r="156" spans="1:4" s="73" customFormat="1" ht="15.75" customHeight="1">
      <c r="A156" s="229" t="s">
        <v>1303</v>
      </c>
      <c r="B156" s="231"/>
      <c r="C156" s="105" t="s">
        <v>358</v>
      </c>
      <c r="D156" s="72">
        <v>2</v>
      </c>
    </row>
    <row r="157" spans="1:4" s="73" customFormat="1" ht="15">
      <c r="A157" s="402" t="s">
        <v>909</v>
      </c>
      <c r="B157" s="413"/>
      <c r="C157" s="72" t="s">
        <v>910</v>
      </c>
      <c r="D157" s="72">
        <v>1.5</v>
      </c>
    </row>
    <row r="158" spans="1:4" s="73" customFormat="1" ht="15">
      <c r="A158" s="92" t="s">
        <v>1305</v>
      </c>
      <c r="B158" s="72"/>
      <c r="C158" s="72" t="s">
        <v>1306</v>
      </c>
      <c r="D158" s="72">
        <v>1.5</v>
      </c>
    </row>
    <row r="159" spans="1:4" s="73" customFormat="1" ht="29.25" customHeight="1">
      <c r="A159" s="228" t="s">
        <v>1307</v>
      </c>
      <c r="B159" s="231"/>
      <c r="C159" s="105" t="s">
        <v>1308</v>
      </c>
      <c r="D159" s="72">
        <v>1.8</v>
      </c>
    </row>
    <row r="160" spans="1:4" s="73" customFormat="1" ht="18" customHeight="1">
      <c r="A160" s="228" t="s">
        <v>1089</v>
      </c>
      <c r="B160" s="231"/>
      <c r="C160" s="72" t="s">
        <v>1090</v>
      </c>
      <c r="D160" s="72">
        <v>1.5</v>
      </c>
    </row>
    <row r="161" spans="1:4" s="73" customFormat="1" ht="27.75" customHeight="1">
      <c r="A161" s="229" t="s">
        <v>1309</v>
      </c>
      <c r="B161" s="231"/>
      <c r="C161" s="105" t="s">
        <v>279</v>
      </c>
      <c r="D161" s="72">
        <v>1.5</v>
      </c>
    </row>
    <row r="162" spans="1:4" s="73" customFormat="1" ht="18.75" customHeight="1">
      <c r="A162" s="234" t="s">
        <v>1310</v>
      </c>
      <c r="B162" s="235"/>
      <c r="C162" s="105" t="s">
        <v>1311</v>
      </c>
      <c r="D162" s="72">
        <v>3.4</v>
      </c>
    </row>
    <row r="163" spans="1:4" s="73" customFormat="1" ht="15" customHeight="1">
      <c r="A163" s="202" t="s">
        <v>1091</v>
      </c>
      <c r="B163" s="254"/>
      <c r="C163" s="105" t="s">
        <v>1092</v>
      </c>
      <c r="D163" s="72">
        <v>1.5</v>
      </c>
    </row>
    <row r="164" spans="1:4" s="73" customFormat="1" ht="15.75" customHeight="1">
      <c r="A164" s="401" t="s">
        <v>1312</v>
      </c>
      <c r="B164" s="401"/>
      <c r="C164" s="72" t="s">
        <v>1313</v>
      </c>
      <c r="D164" s="72">
        <v>1.5</v>
      </c>
    </row>
    <row r="165" spans="1:4" s="73" customFormat="1" ht="15">
      <c r="A165" s="402" t="s">
        <v>1093</v>
      </c>
      <c r="B165" s="413"/>
      <c r="C165" s="72" t="s">
        <v>1094</v>
      </c>
      <c r="D165" s="72">
        <v>1.1</v>
      </c>
    </row>
    <row r="166" spans="1:4" s="73" customFormat="1" ht="28.5">
      <c r="A166" s="247" t="s">
        <v>1428</v>
      </c>
      <c r="B166" s="116"/>
      <c r="C166" s="72" t="s">
        <v>279</v>
      </c>
      <c r="D166" s="72">
        <v>1</v>
      </c>
    </row>
    <row r="167" spans="1:4" ht="15.75" thickBot="1">
      <c r="A167" s="452" t="s">
        <v>99</v>
      </c>
      <c r="B167" s="505"/>
      <c r="C167" s="77"/>
      <c r="D167" s="77"/>
    </row>
    <row r="168" spans="1:4" ht="29.25" customHeight="1" thickBot="1">
      <c r="A168" s="392" t="s">
        <v>307</v>
      </c>
      <c r="B168" s="393"/>
      <c r="C168" s="78" t="s">
        <v>408</v>
      </c>
      <c r="D168" s="80" t="s">
        <v>413</v>
      </c>
    </row>
    <row r="169" spans="1:4" ht="15.75" thickBot="1">
      <c r="A169" s="377" t="s">
        <v>101</v>
      </c>
      <c r="B169" s="378"/>
      <c r="C169" s="77"/>
      <c r="D169" s="77"/>
    </row>
    <row r="170" spans="1:4" ht="15.75" thickBot="1">
      <c r="A170" s="443" t="s">
        <v>102</v>
      </c>
      <c r="B170" s="375"/>
      <c r="C170" s="77" t="s">
        <v>243</v>
      </c>
      <c r="D170" s="77"/>
    </row>
    <row r="171" spans="1:4" ht="15">
      <c r="A171" s="90" t="s">
        <v>1209</v>
      </c>
      <c r="B171" s="232"/>
      <c r="C171" s="72" t="s">
        <v>243</v>
      </c>
      <c r="D171" s="72">
        <f>1.5*130+175</f>
        <v>370</v>
      </c>
    </row>
    <row r="172" spans="1:4" ht="15">
      <c r="A172" s="90" t="s">
        <v>1210</v>
      </c>
      <c r="B172" s="232"/>
      <c r="C172" s="72" t="s">
        <v>243</v>
      </c>
      <c r="D172" s="72">
        <f>2.5*130+175</f>
        <v>500</v>
      </c>
    </row>
    <row r="173" spans="1:4" ht="15">
      <c r="A173" s="90" t="s">
        <v>1211</v>
      </c>
      <c r="B173" s="233"/>
      <c r="C173" s="72" t="s">
        <v>243</v>
      </c>
      <c r="D173" s="72">
        <f>3*130</f>
        <v>390</v>
      </c>
    </row>
    <row r="174" spans="1:4" ht="15">
      <c r="A174" s="90" t="s">
        <v>1212</v>
      </c>
      <c r="B174" s="233"/>
      <c r="C174" s="72" t="s">
        <v>243</v>
      </c>
      <c r="D174" s="72">
        <f>2*130+175</f>
        <v>435</v>
      </c>
    </row>
    <row r="175" spans="1:4" ht="15">
      <c r="A175" s="90" t="s">
        <v>1213</v>
      </c>
      <c r="B175" s="233"/>
      <c r="C175" s="72" t="s">
        <v>243</v>
      </c>
      <c r="D175" s="72">
        <f>2*130+175</f>
        <v>435</v>
      </c>
    </row>
    <row r="176" spans="1:4" s="94" customFormat="1" ht="15">
      <c r="A176" s="228" t="s">
        <v>1228</v>
      </c>
      <c r="B176" s="228"/>
      <c r="C176" s="72" t="s">
        <v>243</v>
      </c>
      <c r="D176" s="72">
        <f>1.5*130+175</f>
        <v>370</v>
      </c>
    </row>
    <row r="177" spans="1:4" s="94" customFormat="1" ht="15">
      <c r="A177" s="228" t="s">
        <v>1229</v>
      </c>
      <c r="B177" s="228"/>
      <c r="C177" s="72" t="s">
        <v>243</v>
      </c>
      <c r="D177" s="72">
        <f>1.5*130+175</f>
        <v>370</v>
      </c>
    </row>
    <row r="178" spans="1:4" ht="15">
      <c r="A178" s="90" t="s">
        <v>1237</v>
      </c>
      <c r="B178" s="135"/>
      <c r="C178" s="199"/>
      <c r="D178" s="199">
        <v>1.5</v>
      </c>
    </row>
    <row r="179" spans="1:4" ht="15">
      <c r="A179" s="90" t="s">
        <v>1238</v>
      </c>
      <c r="B179" s="135"/>
      <c r="C179" s="199"/>
      <c r="D179" s="199">
        <v>1.5</v>
      </c>
    </row>
    <row r="180" spans="1:4" ht="15">
      <c r="A180" s="186" t="s">
        <v>275</v>
      </c>
      <c r="B180" s="135"/>
      <c r="C180" s="199"/>
      <c r="D180" s="199">
        <v>3</v>
      </c>
    </row>
    <row r="181" spans="1:4" s="73" customFormat="1" ht="15">
      <c r="A181" s="90" t="s">
        <v>1264</v>
      </c>
      <c r="B181" s="91"/>
      <c r="C181" s="72" t="s">
        <v>243</v>
      </c>
      <c r="D181" s="72">
        <v>1.5</v>
      </c>
    </row>
    <row r="182" spans="1:4" s="73" customFormat="1" ht="28.5">
      <c r="A182" s="90" t="s">
        <v>1273</v>
      </c>
      <c r="B182" s="91"/>
      <c r="C182" s="72" t="s">
        <v>243</v>
      </c>
      <c r="D182" s="72">
        <v>2</v>
      </c>
    </row>
    <row r="183" spans="1:4" s="73" customFormat="1" ht="15">
      <c r="A183" s="263" t="s">
        <v>1274</v>
      </c>
      <c r="B183" s="91"/>
      <c r="C183" s="72" t="s">
        <v>243</v>
      </c>
      <c r="D183" s="72">
        <v>2.5</v>
      </c>
    </row>
    <row r="184" spans="1:4" s="73" customFormat="1" ht="15">
      <c r="A184" s="90" t="s">
        <v>1279</v>
      </c>
      <c r="B184" s="91"/>
      <c r="C184" s="72" t="s">
        <v>243</v>
      </c>
      <c r="D184" s="72">
        <v>1</v>
      </c>
    </row>
    <row r="185" spans="1:4" s="73" customFormat="1" ht="15">
      <c r="A185" s="90" t="s">
        <v>624</v>
      </c>
      <c r="B185" s="91"/>
      <c r="C185" s="72" t="s">
        <v>243</v>
      </c>
      <c r="D185" s="72">
        <v>2</v>
      </c>
    </row>
    <row r="186" spans="1:4" s="73" customFormat="1" ht="15">
      <c r="A186" s="263" t="s">
        <v>633</v>
      </c>
      <c r="B186" s="91"/>
      <c r="C186" s="72" t="s">
        <v>243</v>
      </c>
      <c r="D186" s="72">
        <v>1</v>
      </c>
    </row>
    <row r="187" spans="1:4" s="73" customFormat="1" ht="15">
      <c r="A187" s="90" t="s">
        <v>777</v>
      </c>
      <c r="B187" s="91"/>
      <c r="C187" s="72" t="s">
        <v>243</v>
      </c>
      <c r="D187" s="72">
        <v>1</v>
      </c>
    </row>
    <row r="188" spans="1:4" s="73" customFormat="1" ht="15">
      <c r="A188" s="90" t="s">
        <v>1293</v>
      </c>
      <c r="B188" s="91"/>
      <c r="C188" s="72" t="s">
        <v>243</v>
      </c>
      <c r="D188" s="72">
        <v>5</v>
      </c>
    </row>
    <row r="189" spans="1:4" s="73" customFormat="1" ht="15">
      <c r="A189" s="90" t="s">
        <v>1294</v>
      </c>
      <c r="B189" s="91"/>
      <c r="C189" s="72" t="s">
        <v>243</v>
      </c>
      <c r="D189" s="72">
        <v>4</v>
      </c>
    </row>
    <row r="190" spans="1:4" s="73" customFormat="1" ht="15">
      <c r="A190" s="90" t="s">
        <v>1314</v>
      </c>
      <c r="B190" s="91"/>
      <c r="C190" s="72" t="s">
        <v>243</v>
      </c>
      <c r="D190" s="72">
        <v>2</v>
      </c>
    </row>
    <row r="191" spans="1:4" s="73" customFormat="1" ht="15">
      <c r="A191" s="90" t="s">
        <v>1315</v>
      </c>
      <c r="B191" s="91"/>
      <c r="C191" s="72" t="s">
        <v>243</v>
      </c>
      <c r="D191" s="72">
        <v>1</v>
      </c>
    </row>
    <row r="192" spans="1:4" s="73" customFormat="1" ht="15">
      <c r="A192" s="263" t="s">
        <v>1316</v>
      </c>
      <c r="B192" s="91"/>
      <c r="C192" s="72" t="s">
        <v>243</v>
      </c>
      <c r="D192" s="72">
        <v>1</v>
      </c>
    </row>
    <row r="193" spans="1:4" s="73" customFormat="1" ht="15">
      <c r="A193" s="90" t="s">
        <v>1317</v>
      </c>
      <c r="B193" s="233"/>
      <c r="C193" s="72" t="s">
        <v>243</v>
      </c>
      <c r="D193" s="72">
        <v>1</v>
      </c>
    </row>
    <row r="194" spans="1:4" s="73" customFormat="1" ht="15">
      <c r="A194" s="90" t="s">
        <v>1318</v>
      </c>
      <c r="B194" s="233"/>
      <c r="C194" s="72" t="s">
        <v>243</v>
      </c>
      <c r="D194" s="72">
        <v>1</v>
      </c>
    </row>
    <row r="195" spans="1:4" s="73" customFormat="1" ht="15">
      <c r="A195" s="90" t="s">
        <v>1097</v>
      </c>
      <c r="B195" s="233"/>
      <c r="C195" s="72" t="s">
        <v>243</v>
      </c>
      <c r="D195" s="72">
        <v>2</v>
      </c>
    </row>
    <row r="196" spans="1:4" s="73" customFormat="1" ht="15">
      <c r="A196" s="95" t="s">
        <v>624</v>
      </c>
      <c r="B196" s="70"/>
      <c r="C196" s="77" t="s">
        <v>243</v>
      </c>
      <c r="D196" s="77">
        <v>2</v>
      </c>
    </row>
    <row r="197" spans="1:4" s="73" customFormat="1" ht="15">
      <c r="A197" s="164" t="s">
        <v>633</v>
      </c>
      <c r="B197" s="70"/>
      <c r="C197" s="77" t="s">
        <v>243</v>
      </c>
      <c r="D197" s="77">
        <v>1</v>
      </c>
    </row>
    <row r="198" spans="1:4" ht="15">
      <c r="A198" s="95" t="s">
        <v>275</v>
      </c>
      <c r="B198" s="123"/>
      <c r="C198" s="77"/>
      <c r="D198" s="77">
        <v>3</v>
      </c>
    </row>
    <row r="199" spans="1:4" ht="15">
      <c r="A199" s="390" t="s">
        <v>410</v>
      </c>
      <c r="B199" s="506"/>
      <c r="C199" s="77"/>
      <c r="D199" s="77"/>
    </row>
    <row r="200" spans="1:4" ht="15.75" thickBot="1">
      <c r="A200" s="453" t="s">
        <v>104</v>
      </c>
      <c r="B200" s="507"/>
      <c r="C200" s="77"/>
      <c r="D200" s="77"/>
    </row>
    <row r="201" spans="1:4" ht="15">
      <c r="A201" s="79"/>
      <c r="B201" s="79"/>
      <c r="C201" s="76"/>
      <c r="D201" s="76"/>
    </row>
    <row r="202" spans="1:4" ht="15.75">
      <c r="A202" s="394" t="s">
        <v>233</v>
      </c>
      <c r="B202" s="394"/>
      <c r="C202" s="394"/>
      <c r="D202" s="394"/>
    </row>
    <row r="203" spans="1:4" ht="15">
      <c r="A203" s="76"/>
      <c r="B203" s="76"/>
      <c r="C203" s="76"/>
      <c r="D203" s="76"/>
    </row>
    <row r="204" spans="1:4" ht="15.75">
      <c r="A204" s="394" t="s">
        <v>234</v>
      </c>
      <c r="B204" s="394"/>
      <c r="C204" s="394"/>
      <c r="D204" s="394"/>
    </row>
  </sheetData>
  <sheetProtection/>
  <mergeCells count="66">
    <mergeCell ref="A202:D202"/>
    <mergeCell ref="A204:D204"/>
    <mergeCell ref="A152:B152"/>
    <mergeCell ref="A154:B154"/>
    <mergeCell ref="A155:B155"/>
    <mergeCell ref="A167:B167"/>
    <mergeCell ref="A168:B168"/>
    <mergeCell ref="A169:B169"/>
    <mergeCell ref="A170:B170"/>
    <mergeCell ref="A199:B199"/>
    <mergeCell ref="A200:B200"/>
    <mergeCell ref="A157:B157"/>
    <mergeCell ref="A164:B164"/>
    <mergeCell ref="A165:B165"/>
    <mergeCell ref="A15:B15"/>
    <mergeCell ref="A16:B16"/>
    <mergeCell ref="A35:B35"/>
    <mergeCell ref="A36:B36"/>
    <mergeCell ref="A37:B37"/>
    <mergeCell ref="A21:B21"/>
    <mergeCell ref="A23:B23"/>
    <mergeCell ref="A24:B24"/>
    <mergeCell ref="A29:B29"/>
    <mergeCell ref="A30:B30"/>
    <mergeCell ref="A31:B31"/>
    <mergeCell ref="A25:B25"/>
    <mergeCell ref="A26:B26"/>
    <mergeCell ref="A27:B27"/>
    <mergeCell ref="A28:B28"/>
    <mergeCell ref="A14:B14"/>
    <mergeCell ref="A1:D1"/>
    <mergeCell ref="A2:D2"/>
    <mergeCell ref="A3:D3"/>
    <mergeCell ref="A5:B5"/>
    <mergeCell ref="A6:B6"/>
    <mergeCell ref="A7:B7"/>
    <mergeCell ref="A8:B8"/>
    <mergeCell ref="A9:B9"/>
    <mergeCell ref="A10:B10"/>
    <mergeCell ref="A11:B11"/>
    <mergeCell ref="A12:B12"/>
    <mergeCell ref="A128:B128"/>
    <mergeCell ref="A129:B129"/>
    <mergeCell ref="A38:B38"/>
    <mergeCell ref="A39:B39"/>
    <mergeCell ref="A41:B41"/>
    <mergeCell ref="A42:B42"/>
    <mergeCell ref="A86:B86"/>
    <mergeCell ref="A113:B113"/>
    <mergeCell ref="A125:B125"/>
    <mergeCell ref="A148:B148"/>
    <mergeCell ref="A70:B70"/>
    <mergeCell ref="A140:B140"/>
    <mergeCell ref="A141:B141"/>
    <mergeCell ref="A32:B32"/>
    <mergeCell ref="A33:B33"/>
    <mergeCell ref="A34:B34"/>
    <mergeCell ref="A133:B133"/>
    <mergeCell ref="A134:B134"/>
    <mergeCell ref="A40:B40"/>
    <mergeCell ref="A73:B73"/>
    <mergeCell ref="A144:B144"/>
    <mergeCell ref="A145:B145"/>
    <mergeCell ref="A147:B147"/>
    <mergeCell ref="A130:B130"/>
    <mergeCell ref="A126:B126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05"/>
  <sheetViews>
    <sheetView zoomScalePageLayoutView="0" workbookViewId="0" topLeftCell="A1">
      <selection activeCell="H111" sqref="H111"/>
    </sheetView>
  </sheetViews>
  <sheetFormatPr defaultColWidth="9.140625" defaultRowHeight="15"/>
  <cols>
    <col min="1" max="1" width="80.8515625" style="0" customWidth="1"/>
    <col min="2" max="2" width="3.28125" style="0" hidden="1" customWidth="1"/>
    <col min="3" max="3" width="33.7109375" style="0" customWidth="1"/>
  </cols>
  <sheetData>
    <row r="1" spans="1:4" ht="15.75">
      <c r="A1" s="381" t="s">
        <v>959</v>
      </c>
      <c r="B1" s="381"/>
      <c r="C1" s="381"/>
      <c r="D1" s="381"/>
    </row>
    <row r="2" spans="1:4" ht="15.75">
      <c r="A2" s="382" t="s">
        <v>248</v>
      </c>
      <c r="B2" s="382"/>
      <c r="C2" s="382"/>
      <c r="D2" s="382"/>
    </row>
    <row r="3" spans="1:4" s="55" customFormat="1" ht="15.75">
      <c r="A3" s="382" t="s">
        <v>1319</v>
      </c>
      <c r="B3" s="382"/>
      <c r="C3" s="382"/>
      <c r="D3" s="382"/>
    </row>
    <row r="4" spans="1:4" s="55" customFormat="1" ht="15.75">
      <c r="A4" s="112"/>
      <c r="B4" s="112"/>
      <c r="C4" s="89"/>
      <c r="D4" s="89"/>
    </row>
    <row r="5" spans="1:4" ht="30">
      <c r="A5" s="383" t="s">
        <v>229</v>
      </c>
      <c r="B5" s="384"/>
      <c r="C5" s="86" t="s">
        <v>231</v>
      </c>
      <c r="D5" s="85" t="s">
        <v>530</v>
      </c>
    </row>
    <row r="6" spans="1:4" ht="15">
      <c r="A6" s="509" t="s">
        <v>229</v>
      </c>
      <c r="B6" s="510"/>
      <c r="C6" s="114"/>
      <c r="D6" s="115"/>
    </row>
    <row r="7" spans="1:4" ht="15.75" thickBot="1">
      <c r="A7" s="452" t="s">
        <v>0</v>
      </c>
      <c r="B7" s="508"/>
      <c r="C7" s="76"/>
      <c r="D7" s="76"/>
    </row>
    <row r="8" spans="1:4" ht="15">
      <c r="A8" s="435" t="s">
        <v>24</v>
      </c>
      <c r="B8" s="436"/>
      <c r="C8" s="77"/>
      <c r="D8" s="77"/>
    </row>
    <row r="9" spans="1:4" ht="15">
      <c r="A9" s="435" t="s">
        <v>236</v>
      </c>
      <c r="B9" s="436"/>
      <c r="C9" s="77"/>
      <c r="D9" s="77"/>
    </row>
    <row r="10" spans="1:4" ht="15.75" thickBot="1">
      <c r="A10" s="451" t="s">
        <v>28</v>
      </c>
      <c r="B10" s="445"/>
      <c r="C10" s="77"/>
      <c r="D10" s="77"/>
    </row>
    <row r="11" spans="1:4" ht="15.75" thickBot="1">
      <c r="A11" s="375" t="s">
        <v>29</v>
      </c>
      <c r="B11" s="376"/>
      <c r="C11" s="77"/>
      <c r="D11" s="77"/>
    </row>
    <row r="12" spans="1:4" ht="15">
      <c r="A12" s="433" t="s">
        <v>45</v>
      </c>
      <c r="B12" s="434"/>
      <c r="C12" s="77"/>
      <c r="D12" s="77"/>
    </row>
    <row r="13" spans="1:4" ht="15.75" thickBot="1">
      <c r="A13" s="72" t="s">
        <v>1320</v>
      </c>
      <c r="B13" s="72"/>
      <c r="C13" s="77"/>
      <c r="D13" s="72">
        <v>153.16</v>
      </c>
    </row>
    <row r="14" spans="1:4" ht="15.75" thickBot="1">
      <c r="A14" s="377" t="s">
        <v>56</v>
      </c>
      <c r="B14" s="378"/>
      <c r="C14" s="77"/>
      <c r="D14" s="77"/>
    </row>
    <row r="15" spans="1:4" ht="15.75" thickBot="1">
      <c r="A15" s="375" t="s">
        <v>57</v>
      </c>
      <c r="B15" s="376"/>
      <c r="C15" s="77"/>
      <c r="D15" s="77"/>
    </row>
    <row r="16" spans="1:4" s="73" customFormat="1" ht="15.75" thickBot="1">
      <c r="A16" s="400" t="s">
        <v>732</v>
      </c>
      <c r="B16" s="448"/>
      <c r="C16" s="72" t="s">
        <v>592</v>
      </c>
      <c r="D16" s="72">
        <v>6</v>
      </c>
    </row>
    <row r="17" spans="1:4" s="73" customFormat="1" ht="15.75" thickBot="1">
      <c r="A17" s="511" t="s">
        <v>1214</v>
      </c>
      <c r="B17" s="512"/>
      <c r="C17" s="72"/>
      <c r="D17" s="72">
        <f>2500+130+175</f>
        <v>2805</v>
      </c>
    </row>
    <row r="18" spans="1:4" s="73" customFormat="1" ht="15.75" thickBot="1">
      <c r="A18" s="90" t="s">
        <v>1335</v>
      </c>
      <c r="B18" s="230"/>
      <c r="C18" s="105" t="s">
        <v>1336</v>
      </c>
      <c r="D18" s="199">
        <v>260</v>
      </c>
    </row>
    <row r="19" spans="1:4" s="73" customFormat="1" ht="29.25" thickBot="1">
      <c r="A19" s="90" t="s">
        <v>1337</v>
      </c>
      <c r="B19" s="230"/>
      <c r="C19" s="105" t="s">
        <v>1338</v>
      </c>
      <c r="D19" s="199">
        <f>130*2</f>
        <v>260</v>
      </c>
    </row>
    <row r="20" spans="1:4" ht="15">
      <c r="A20" s="399" t="s">
        <v>1362</v>
      </c>
      <c r="B20" s="400"/>
      <c r="C20" s="181" t="s">
        <v>359</v>
      </c>
      <c r="D20" s="199">
        <f>1.2+1.2</f>
        <v>2.4</v>
      </c>
    </row>
    <row r="21" spans="1:4" ht="15" customHeight="1">
      <c r="A21" s="399" t="s">
        <v>1231</v>
      </c>
      <c r="B21" s="400"/>
      <c r="C21" s="181" t="s">
        <v>390</v>
      </c>
      <c r="D21" s="199">
        <v>2</v>
      </c>
    </row>
    <row r="22" spans="1:4" s="73" customFormat="1" ht="15">
      <c r="A22" s="399" t="s">
        <v>1239</v>
      </c>
      <c r="B22" s="400"/>
      <c r="C22" s="72" t="s">
        <v>390</v>
      </c>
      <c r="D22" s="72">
        <v>3</v>
      </c>
    </row>
    <row r="23" spans="1:4" s="73" customFormat="1" ht="15">
      <c r="A23" s="399" t="s">
        <v>1240</v>
      </c>
      <c r="B23" s="400"/>
      <c r="C23" s="72" t="s">
        <v>347</v>
      </c>
      <c r="D23" s="72">
        <f>3.5+0.5</f>
        <v>4</v>
      </c>
    </row>
    <row r="24" spans="1:4" s="73" customFormat="1" ht="15">
      <c r="A24" s="399" t="s">
        <v>1241</v>
      </c>
      <c r="B24" s="400"/>
      <c r="C24" s="72" t="s">
        <v>400</v>
      </c>
      <c r="D24" s="72">
        <v>1</v>
      </c>
    </row>
    <row r="25" spans="1:4" ht="15">
      <c r="A25" s="399" t="s">
        <v>1383</v>
      </c>
      <c r="B25" s="400"/>
      <c r="C25" s="72" t="s">
        <v>433</v>
      </c>
      <c r="D25" s="72">
        <v>6</v>
      </c>
    </row>
    <row r="26" spans="1:4" s="73" customFormat="1" ht="15">
      <c r="A26" s="399" t="s">
        <v>474</v>
      </c>
      <c r="B26" s="400"/>
      <c r="C26" s="72" t="s">
        <v>401</v>
      </c>
      <c r="D26" s="72">
        <v>0.5</v>
      </c>
    </row>
    <row r="27" spans="1:4" s="73" customFormat="1" ht="15">
      <c r="A27" s="400" t="s">
        <v>1384</v>
      </c>
      <c r="B27" s="448"/>
      <c r="C27" s="72" t="s">
        <v>1385</v>
      </c>
      <c r="D27" s="72">
        <v>1</v>
      </c>
    </row>
    <row r="28" spans="1:4" s="73" customFormat="1" ht="15">
      <c r="A28" s="400" t="s">
        <v>515</v>
      </c>
      <c r="B28" s="448"/>
      <c r="C28" s="72" t="s">
        <v>516</v>
      </c>
      <c r="D28" s="72">
        <v>3</v>
      </c>
    </row>
    <row r="29" spans="1:4" s="73" customFormat="1" ht="15" customHeight="1">
      <c r="A29" s="399" t="s">
        <v>523</v>
      </c>
      <c r="B29" s="400"/>
      <c r="C29" s="72" t="s">
        <v>447</v>
      </c>
      <c r="D29" s="72">
        <v>2.8</v>
      </c>
    </row>
    <row r="30" spans="1:4" s="73" customFormat="1" ht="15">
      <c r="A30" s="399" t="s">
        <v>680</v>
      </c>
      <c r="B30" s="400"/>
      <c r="C30" s="72" t="s">
        <v>394</v>
      </c>
      <c r="D30" s="72">
        <v>4</v>
      </c>
    </row>
    <row r="31" spans="1:4" s="73" customFormat="1" ht="15">
      <c r="A31" s="399" t="s">
        <v>698</v>
      </c>
      <c r="B31" s="400"/>
      <c r="C31" s="72" t="s">
        <v>699</v>
      </c>
      <c r="D31" s="72">
        <v>3</v>
      </c>
    </row>
    <row r="32" spans="1:4" s="73" customFormat="1" ht="15">
      <c r="A32" s="400" t="s">
        <v>732</v>
      </c>
      <c r="B32" s="448"/>
      <c r="C32" s="72" t="s">
        <v>592</v>
      </c>
      <c r="D32" s="72">
        <v>6</v>
      </c>
    </row>
    <row r="33" spans="1:4" s="73" customFormat="1" ht="15">
      <c r="A33" s="400" t="s">
        <v>1286</v>
      </c>
      <c r="B33" s="448"/>
      <c r="C33" s="72" t="s">
        <v>1287</v>
      </c>
      <c r="D33" s="72">
        <v>4.5</v>
      </c>
    </row>
    <row r="34" spans="1:4" s="73" customFormat="1" ht="15">
      <c r="A34" s="400" t="s">
        <v>1288</v>
      </c>
      <c r="B34" s="448"/>
      <c r="C34" s="72" t="s">
        <v>1287</v>
      </c>
      <c r="D34" s="72">
        <v>4.5</v>
      </c>
    </row>
    <row r="35" spans="1:4" s="73" customFormat="1" ht="15">
      <c r="A35" s="400" t="s">
        <v>1289</v>
      </c>
      <c r="B35" s="448"/>
      <c r="C35" s="72" t="s">
        <v>1287</v>
      </c>
      <c r="D35" s="72">
        <v>6</v>
      </c>
    </row>
    <row r="36" spans="1:4" s="73" customFormat="1" ht="15">
      <c r="A36" s="400" t="s">
        <v>1290</v>
      </c>
      <c r="B36" s="448"/>
      <c r="C36" s="72" t="s">
        <v>1287</v>
      </c>
      <c r="D36" s="72">
        <v>8</v>
      </c>
    </row>
    <row r="37" spans="1:4" s="73" customFormat="1" ht="15">
      <c r="A37" s="400" t="s">
        <v>1295</v>
      </c>
      <c r="B37" s="448"/>
      <c r="C37" s="72" t="s">
        <v>1296</v>
      </c>
      <c r="D37" s="72">
        <v>1</v>
      </c>
    </row>
    <row r="38" spans="1:4" ht="15.75" customHeight="1" thickBot="1">
      <c r="A38" s="445" t="s">
        <v>63</v>
      </c>
      <c r="B38" s="446"/>
      <c r="C38" s="77"/>
      <c r="D38" s="77"/>
    </row>
    <row r="39" spans="1:4" ht="15.75" thickBot="1">
      <c r="A39" s="387" t="s">
        <v>64</v>
      </c>
      <c r="B39" s="377"/>
      <c r="C39" s="77"/>
      <c r="D39" s="77"/>
    </row>
    <row r="40" spans="1:4" ht="15">
      <c r="A40" s="388" t="s">
        <v>66</v>
      </c>
      <c r="B40" s="389"/>
      <c r="C40" s="77"/>
      <c r="D40" s="77"/>
    </row>
    <row r="41" spans="1:4" ht="15">
      <c r="A41" s="60" t="s">
        <v>68</v>
      </c>
      <c r="B41" s="61"/>
      <c r="C41" s="77"/>
      <c r="D41" s="77"/>
    </row>
    <row r="42" spans="1:4" ht="30">
      <c r="A42" s="87" t="s">
        <v>1339</v>
      </c>
      <c r="B42" s="93"/>
      <c r="C42" s="105" t="s">
        <v>1340</v>
      </c>
      <c r="D42" s="72">
        <f>8*130+4*130+175+130*1.5</f>
        <v>1930</v>
      </c>
    </row>
    <row r="43" spans="1:4" ht="15">
      <c r="A43" s="87" t="s">
        <v>1341</v>
      </c>
      <c r="B43" s="93"/>
      <c r="C43" s="105" t="s">
        <v>699</v>
      </c>
      <c r="D43" s="72">
        <f>175+130*3*3</f>
        <v>1345</v>
      </c>
    </row>
    <row r="44" spans="1:4" ht="15">
      <c r="A44" s="87" t="s">
        <v>1342</v>
      </c>
      <c r="B44" s="93"/>
      <c r="C44" s="105" t="s">
        <v>390</v>
      </c>
      <c r="D44" s="72">
        <f>4*130+175</f>
        <v>695</v>
      </c>
    </row>
    <row r="45" spans="1:4" ht="15">
      <c r="A45" s="87" t="s">
        <v>1343</v>
      </c>
      <c r="B45" s="93"/>
      <c r="C45" s="105" t="s">
        <v>390</v>
      </c>
      <c r="D45" s="72">
        <f>130*8+175</f>
        <v>1215</v>
      </c>
    </row>
    <row r="46" spans="1:4" ht="15" customHeight="1">
      <c r="A46" s="87" t="s">
        <v>343</v>
      </c>
      <c r="B46" s="140"/>
      <c r="C46" s="181" t="s">
        <v>369</v>
      </c>
      <c r="D46" s="199">
        <f>0.5+0.5</f>
        <v>1</v>
      </c>
    </row>
    <row r="47" spans="1:4" ht="15" customHeight="1">
      <c r="A47" s="87" t="s">
        <v>1363</v>
      </c>
      <c r="B47" s="140"/>
      <c r="C47" s="181" t="s">
        <v>342</v>
      </c>
      <c r="D47" s="199">
        <v>3</v>
      </c>
    </row>
    <row r="48" spans="1:4" s="73" customFormat="1" ht="18" customHeight="1">
      <c r="A48" s="87" t="s">
        <v>1243</v>
      </c>
      <c r="B48" s="93"/>
      <c r="C48" s="105" t="s">
        <v>328</v>
      </c>
      <c r="D48" s="72">
        <v>1</v>
      </c>
    </row>
    <row r="49" spans="1:4" s="73" customFormat="1" ht="15">
      <c r="A49" s="87" t="s">
        <v>1372</v>
      </c>
      <c r="B49" s="93"/>
      <c r="C49" s="72" t="s">
        <v>346</v>
      </c>
      <c r="D49" s="72">
        <f>2.5+1.5</f>
        <v>4</v>
      </c>
    </row>
    <row r="50" spans="1:4" s="73" customFormat="1" ht="15">
      <c r="A50" s="87" t="s">
        <v>1373</v>
      </c>
      <c r="B50" s="93"/>
      <c r="C50" s="72" t="s">
        <v>279</v>
      </c>
      <c r="D50" s="72">
        <v>3</v>
      </c>
    </row>
    <row r="51" spans="1:4" s="73" customFormat="1" ht="15">
      <c r="A51" s="87" t="s">
        <v>1374</v>
      </c>
      <c r="B51" s="93"/>
      <c r="C51" s="72" t="s">
        <v>279</v>
      </c>
      <c r="D51" s="72">
        <v>1.5</v>
      </c>
    </row>
    <row r="52" spans="1:4" s="73" customFormat="1" ht="15">
      <c r="A52" s="87" t="s">
        <v>1249</v>
      </c>
      <c r="B52" s="93"/>
      <c r="C52" s="72" t="s">
        <v>1250</v>
      </c>
      <c r="D52" s="72">
        <f>2+1.5</f>
        <v>3.5</v>
      </c>
    </row>
    <row r="53" spans="1:4" s="73" customFormat="1" ht="27" customHeight="1">
      <c r="A53" s="87" t="s">
        <v>1251</v>
      </c>
      <c r="B53" s="93"/>
      <c r="C53" s="105" t="s">
        <v>714</v>
      </c>
      <c r="D53" s="72">
        <f>3.5+1.5+1</f>
        <v>6</v>
      </c>
    </row>
    <row r="54" spans="1:4" s="73" customFormat="1" ht="16.5" customHeight="1">
      <c r="A54" s="87" t="s">
        <v>1252</v>
      </c>
      <c r="B54" s="93"/>
      <c r="C54" s="72" t="s">
        <v>328</v>
      </c>
      <c r="D54" s="72">
        <v>1.5</v>
      </c>
    </row>
    <row r="55" spans="1:4" s="73" customFormat="1" ht="15">
      <c r="A55" s="87" t="s">
        <v>1375</v>
      </c>
      <c r="B55" s="93"/>
      <c r="C55" s="72" t="s">
        <v>917</v>
      </c>
      <c r="D55" s="72">
        <v>1.5</v>
      </c>
    </row>
    <row r="56" spans="1:4" ht="15" customHeight="1">
      <c r="A56" s="87" t="s">
        <v>1254</v>
      </c>
      <c r="B56" s="88"/>
      <c r="C56" s="72" t="s">
        <v>360</v>
      </c>
      <c r="D56" s="72">
        <v>1.5</v>
      </c>
    </row>
    <row r="57" spans="1:4" ht="15" customHeight="1">
      <c r="A57" s="87" t="s">
        <v>1256</v>
      </c>
      <c r="B57" s="88"/>
      <c r="C57" s="72" t="s">
        <v>390</v>
      </c>
      <c r="D57" s="72">
        <v>1.5</v>
      </c>
    </row>
    <row r="58" spans="1:4" ht="15" customHeight="1">
      <c r="A58" s="87" t="s">
        <v>1255</v>
      </c>
      <c r="B58" s="88"/>
      <c r="C58" s="72" t="s">
        <v>342</v>
      </c>
      <c r="D58" s="72">
        <v>2</v>
      </c>
    </row>
    <row r="59" spans="1:4" s="73" customFormat="1" ht="15">
      <c r="A59" s="87" t="s">
        <v>1376</v>
      </c>
      <c r="B59" s="88"/>
      <c r="C59" s="72" t="s">
        <v>328</v>
      </c>
      <c r="D59" s="72">
        <v>1.5</v>
      </c>
    </row>
    <row r="60" spans="1:4" s="73" customFormat="1" ht="15" customHeight="1">
      <c r="A60" s="402" t="s">
        <v>1386</v>
      </c>
      <c r="B60" s="413"/>
      <c r="C60" s="72" t="s">
        <v>1157</v>
      </c>
      <c r="D60" s="72">
        <v>1</v>
      </c>
    </row>
    <row r="61" spans="1:4" ht="15">
      <c r="A61" s="181" t="s">
        <v>1387</v>
      </c>
      <c r="B61" s="181"/>
      <c r="C61" s="181" t="s">
        <v>1388</v>
      </c>
      <c r="D61" s="181">
        <v>1</v>
      </c>
    </row>
    <row r="62" spans="1:4" s="73" customFormat="1" ht="15">
      <c r="A62" s="87" t="s">
        <v>456</v>
      </c>
      <c r="B62" s="93"/>
      <c r="C62" s="72" t="s">
        <v>370</v>
      </c>
      <c r="D62" s="72">
        <v>0.4</v>
      </c>
    </row>
    <row r="63" spans="1:4" s="73" customFormat="1" ht="15" customHeight="1">
      <c r="A63" s="402" t="s">
        <v>701</v>
      </c>
      <c r="B63" s="413"/>
      <c r="C63" s="72" t="s">
        <v>702</v>
      </c>
      <c r="D63" s="72">
        <v>6</v>
      </c>
    </row>
    <row r="64" spans="1:4" s="73" customFormat="1" ht="18" customHeight="1">
      <c r="A64" s="108" t="s">
        <v>734</v>
      </c>
      <c r="B64" s="88"/>
      <c r="C64" s="72" t="s">
        <v>447</v>
      </c>
      <c r="D64" s="72">
        <v>2</v>
      </c>
    </row>
    <row r="65" spans="1:4" s="73" customFormat="1" ht="15" customHeight="1">
      <c r="A65" s="402" t="s">
        <v>1280</v>
      </c>
      <c r="B65" s="413"/>
      <c r="C65" s="72" t="s">
        <v>695</v>
      </c>
      <c r="D65" s="72">
        <v>2.5</v>
      </c>
    </row>
    <row r="66" spans="1:4" s="73" customFormat="1" ht="15" customHeight="1">
      <c r="A66" s="87" t="s">
        <v>1283</v>
      </c>
      <c r="B66" s="88"/>
      <c r="C66" s="72" t="s">
        <v>279</v>
      </c>
      <c r="D66" s="72">
        <v>2</v>
      </c>
    </row>
    <row r="67" spans="1:4" s="73" customFormat="1" ht="32.25" customHeight="1">
      <c r="A67" s="402" t="s">
        <v>1410</v>
      </c>
      <c r="B67" s="413"/>
      <c r="C67" s="72" t="s">
        <v>955</v>
      </c>
      <c r="D67" s="72">
        <v>3</v>
      </c>
    </row>
    <row r="68" spans="1:4" s="73" customFormat="1" ht="15" customHeight="1">
      <c r="A68" s="87" t="s">
        <v>1411</v>
      </c>
      <c r="B68" s="88"/>
      <c r="C68" s="72" t="s">
        <v>748</v>
      </c>
      <c r="D68" s="72">
        <v>6</v>
      </c>
    </row>
    <row r="69" spans="1:4" s="73" customFormat="1" ht="16.5" customHeight="1">
      <c r="A69" s="62" t="s">
        <v>456</v>
      </c>
      <c r="B69" s="61"/>
      <c r="C69" s="77" t="s">
        <v>370</v>
      </c>
      <c r="D69" s="77">
        <v>0.4</v>
      </c>
    </row>
    <row r="70" spans="1:4" ht="15">
      <c r="A70" s="62" t="s">
        <v>237</v>
      </c>
      <c r="B70" s="63"/>
      <c r="C70" s="77"/>
      <c r="D70" s="77"/>
    </row>
    <row r="71" spans="1:4" ht="18.75" customHeight="1">
      <c r="A71" s="64" t="s">
        <v>238</v>
      </c>
      <c r="B71" s="65"/>
      <c r="C71" s="77"/>
      <c r="D71" s="77"/>
    </row>
    <row r="72" spans="1:4" ht="21" customHeight="1">
      <c r="A72" s="66" t="s">
        <v>80</v>
      </c>
      <c r="B72" s="67"/>
      <c r="C72" s="77"/>
      <c r="D72" s="77"/>
    </row>
    <row r="73" spans="1:4" ht="15.75" customHeight="1">
      <c r="A73" s="64" t="s">
        <v>82</v>
      </c>
      <c r="B73" s="65"/>
      <c r="C73" s="77"/>
      <c r="D73" s="77"/>
    </row>
    <row r="74" spans="1:4" ht="15">
      <c r="A74" s="64" t="s">
        <v>84</v>
      </c>
      <c r="B74" s="65"/>
      <c r="C74" s="77"/>
      <c r="D74" s="77"/>
    </row>
    <row r="75" spans="1:4" ht="15" customHeight="1">
      <c r="A75" s="64" t="s">
        <v>86</v>
      </c>
      <c r="B75" s="65"/>
      <c r="C75" s="77"/>
      <c r="D75" s="77"/>
    </row>
    <row r="76" spans="1:4" ht="15" customHeight="1">
      <c r="A76" s="68" t="s">
        <v>88</v>
      </c>
      <c r="B76" s="69"/>
      <c r="C76" s="77"/>
      <c r="D76" s="77"/>
    </row>
    <row r="77" spans="1:4" ht="15">
      <c r="A77" s="390" t="s">
        <v>90</v>
      </c>
      <c r="B77" s="391"/>
      <c r="C77" s="77"/>
      <c r="D77" s="77"/>
    </row>
    <row r="78" spans="1:4" ht="15">
      <c r="A78" s="90" t="s">
        <v>1321</v>
      </c>
      <c r="B78" s="232"/>
      <c r="C78" s="72" t="s">
        <v>1250</v>
      </c>
      <c r="D78" s="72">
        <f>5*2*130</f>
        <v>1300</v>
      </c>
    </row>
    <row r="79" spans="1:4" ht="15">
      <c r="A79" s="90" t="s">
        <v>1322</v>
      </c>
      <c r="B79" s="232"/>
      <c r="C79" s="72" t="s">
        <v>400</v>
      </c>
      <c r="D79" s="72">
        <f>2*130</f>
        <v>260</v>
      </c>
    </row>
    <row r="80" spans="1:4" ht="15">
      <c r="A80" s="90" t="s">
        <v>1323</v>
      </c>
      <c r="B80" s="232"/>
      <c r="C80" s="72" t="s">
        <v>1324</v>
      </c>
      <c r="D80" s="72">
        <f>6*2*130</f>
        <v>1560</v>
      </c>
    </row>
    <row r="81" spans="1:4" ht="15">
      <c r="A81" s="90" t="s">
        <v>1325</v>
      </c>
      <c r="B81" s="232"/>
      <c r="C81" s="72" t="s">
        <v>481</v>
      </c>
      <c r="D81" s="72">
        <f>2*2*130</f>
        <v>520</v>
      </c>
    </row>
    <row r="82" spans="1:4" ht="15">
      <c r="A82" s="90" t="s">
        <v>1326</v>
      </c>
      <c r="B82" s="232"/>
      <c r="C82" s="72" t="s">
        <v>481</v>
      </c>
      <c r="D82" s="72">
        <f>1*2*130</f>
        <v>260</v>
      </c>
    </row>
    <row r="83" spans="1:4" ht="15">
      <c r="A83" s="90" t="s">
        <v>1327</v>
      </c>
      <c r="B83" s="91"/>
      <c r="C83" s="72" t="s">
        <v>309</v>
      </c>
      <c r="D83" s="72">
        <f>1.5*130+175</f>
        <v>370</v>
      </c>
    </row>
    <row r="84" spans="1:4" ht="15">
      <c r="A84" s="90" t="s">
        <v>1328</v>
      </c>
      <c r="C84" s="72" t="s">
        <v>433</v>
      </c>
      <c r="D84" s="72">
        <f>130*2+175</f>
        <v>435</v>
      </c>
    </row>
    <row r="85" spans="1:4" ht="28.5">
      <c r="A85" s="90" t="s">
        <v>1329</v>
      </c>
      <c r="C85" s="72" t="s">
        <v>429</v>
      </c>
      <c r="D85" s="72">
        <f>(0.38+0.44+3.28+3.44)*130*2+175</f>
        <v>2135.3999999999996</v>
      </c>
    </row>
    <row r="86" spans="1:4" ht="15">
      <c r="A86" s="90" t="s">
        <v>1330</v>
      </c>
      <c r="B86" s="232"/>
      <c r="C86" s="72" t="s">
        <v>481</v>
      </c>
      <c r="D86" s="72">
        <f>(7+3.5+3.5)*130+175</f>
        <v>1995</v>
      </c>
    </row>
    <row r="87" spans="1:4" ht="15">
      <c r="A87" s="90" t="s">
        <v>1331</v>
      </c>
      <c r="B87" s="232"/>
      <c r="C87" s="72" t="s">
        <v>850</v>
      </c>
      <c r="D87" s="72">
        <f>7*130*2+175</f>
        <v>1995</v>
      </c>
    </row>
    <row r="88" spans="1:4" ht="15">
      <c r="A88" s="90" t="s">
        <v>1190</v>
      </c>
      <c r="B88" s="55"/>
      <c r="C88" s="265" t="s">
        <v>1332</v>
      </c>
      <c r="D88" s="266">
        <f>0.3*130*2</f>
        <v>78</v>
      </c>
    </row>
    <row r="89" spans="1:4" ht="15">
      <c r="A89" s="90" t="s">
        <v>1333</v>
      </c>
      <c r="B89" s="232"/>
      <c r="C89" s="72" t="s">
        <v>328</v>
      </c>
      <c r="D89" s="72">
        <f>6*130+175</f>
        <v>955</v>
      </c>
    </row>
    <row r="90" spans="1:4" s="73" customFormat="1" ht="15" customHeight="1">
      <c r="A90" s="401" t="s">
        <v>1215</v>
      </c>
      <c r="B90" s="402"/>
      <c r="C90" s="72"/>
      <c r="D90" s="72">
        <f>2507.13+350+4293</f>
        <v>7150.13</v>
      </c>
    </row>
    <row r="91" spans="1:4" s="73" customFormat="1" ht="15">
      <c r="A91" s="228" t="s">
        <v>1344</v>
      </c>
      <c r="B91" s="229"/>
      <c r="C91" s="72" t="s">
        <v>342</v>
      </c>
      <c r="D91" s="72">
        <f>130+175</f>
        <v>305</v>
      </c>
    </row>
    <row r="92" spans="1:4" ht="15">
      <c r="A92" s="90" t="s">
        <v>1345</v>
      </c>
      <c r="B92" s="232"/>
      <c r="C92" s="72" t="s">
        <v>400</v>
      </c>
      <c r="D92" s="72">
        <f>175+2.5*130</f>
        <v>500</v>
      </c>
    </row>
    <row r="93" spans="1:4" ht="15">
      <c r="A93" s="90" t="s">
        <v>1346</v>
      </c>
      <c r="B93" s="232"/>
      <c r="C93" s="72" t="s">
        <v>378</v>
      </c>
      <c r="D93" s="72">
        <f>175+130*2*1.25</f>
        <v>500</v>
      </c>
    </row>
    <row r="94" spans="1:4" ht="15">
      <c r="A94" s="90" t="s">
        <v>822</v>
      </c>
      <c r="B94" s="232"/>
      <c r="C94" s="72" t="s">
        <v>279</v>
      </c>
      <c r="D94" s="72">
        <v>240</v>
      </c>
    </row>
    <row r="95" spans="1:4" ht="15">
      <c r="A95" s="90" t="s">
        <v>821</v>
      </c>
      <c r="B95" s="232"/>
      <c r="C95" s="72" t="s">
        <v>279</v>
      </c>
      <c r="D95" s="72">
        <v>240</v>
      </c>
    </row>
    <row r="96" spans="1:4" ht="15">
      <c r="A96" s="90" t="s">
        <v>1347</v>
      </c>
      <c r="B96" s="232"/>
      <c r="C96" s="72" t="s">
        <v>370</v>
      </c>
      <c r="D96" s="72">
        <f>175+130</f>
        <v>305</v>
      </c>
    </row>
    <row r="97" spans="1:4" ht="15">
      <c r="A97" s="90" t="s">
        <v>1348</v>
      </c>
      <c r="B97" s="232"/>
      <c r="C97" s="72" t="s">
        <v>385</v>
      </c>
      <c r="D97" s="72">
        <f>175+2*130*4</f>
        <v>1215</v>
      </c>
    </row>
    <row r="98" spans="1:4" ht="15">
      <c r="A98" s="90" t="s">
        <v>1349</v>
      </c>
      <c r="B98" s="232"/>
      <c r="C98" s="72" t="s">
        <v>370</v>
      </c>
      <c r="D98" s="72">
        <f>2*130</f>
        <v>260</v>
      </c>
    </row>
    <row r="99" spans="1:4" ht="15">
      <c r="A99" s="90" t="s">
        <v>1350</v>
      </c>
      <c r="B99" s="232"/>
      <c r="C99" s="72" t="s">
        <v>823</v>
      </c>
      <c r="D99" s="72">
        <f>175+130*2*3</f>
        <v>955</v>
      </c>
    </row>
    <row r="100" spans="1:4" ht="28.5">
      <c r="A100" s="90" t="s">
        <v>1351</v>
      </c>
      <c r="B100" s="232"/>
      <c r="C100" s="72" t="s">
        <v>279</v>
      </c>
      <c r="D100" s="72">
        <f>175+130*2</f>
        <v>435</v>
      </c>
    </row>
    <row r="101" spans="1:4" ht="15">
      <c r="A101" s="90" t="s">
        <v>1352</v>
      </c>
      <c r="B101" s="232"/>
      <c r="C101" s="72" t="s">
        <v>400</v>
      </c>
      <c r="D101" s="72">
        <f>175+130</f>
        <v>305</v>
      </c>
    </row>
    <row r="102" spans="1:4" ht="28.5">
      <c r="A102" s="90" t="s">
        <v>1353</v>
      </c>
      <c r="B102" s="232"/>
      <c r="C102" s="72" t="s">
        <v>1354</v>
      </c>
      <c r="D102" s="72">
        <f>175+130*2</f>
        <v>435</v>
      </c>
    </row>
    <row r="103" spans="1:4" ht="15">
      <c r="A103" s="90" t="s">
        <v>1355</v>
      </c>
      <c r="B103" s="232"/>
      <c r="C103" s="72" t="s">
        <v>378</v>
      </c>
      <c r="D103" s="72">
        <f>175+130*2*2</f>
        <v>695</v>
      </c>
    </row>
    <row r="104" spans="1:4" ht="15">
      <c r="A104" s="90" t="s">
        <v>1356</v>
      </c>
      <c r="B104" s="232"/>
      <c r="C104" s="72" t="s">
        <v>823</v>
      </c>
      <c r="D104" s="72">
        <f>130*2*2+175</f>
        <v>695</v>
      </c>
    </row>
    <row r="105" spans="1:4" ht="15">
      <c r="A105" s="90" t="s">
        <v>1226</v>
      </c>
      <c r="B105" s="232"/>
      <c r="C105" s="72" t="s">
        <v>817</v>
      </c>
      <c r="D105" s="72">
        <f>130+175</f>
        <v>305</v>
      </c>
    </row>
    <row r="106" spans="1:4" ht="15" customHeight="1">
      <c r="A106" s="401" t="s">
        <v>1364</v>
      </c>
      <c r="B106" s="402"/>
      <c r="C106" s="181" t="s">
        <v>279</v>
      </c>
      <c r="D106" s="199">
        <v>1</v>
      </c>
    </row>
    <row r="107" spans="1:4" ht="15" customHeight="1">
      <c r="A107" s="229" t="s">
        <v>1365</v>
      </c>
      <c r="B107" s="241"/>
      <c r="C107" s="181" t="s">
        <v>279</v>
      </c>
      <c r="D107" s="199">
        <v>1.5</v>
      </c>
    </row>
    <row r="108" spans="1:4" ht="15">
      <c r="A108" s="402" t="s">
        <v>1366</v>
      </c>
      <c r="B108" s="413"/>
      <c r="C108" s="181" t="s">
        <v>1367</v>
      </c>
      <c r="D108" s="199">
        <f>4+8</f>
        <v>12</v>
      </c>
    </row>
    <row r="109" spans="1:4" ht="15">
      <c r="A109" s="234" t="s">
        <v>1368</v>
      </c>
      <c r="B109" s="235"/>
      <c r="C109" s="181" t="s">
        <v>1369</v>
      </c>
      <c r="D109" s="199">
        <f>8+8</f>
        <v>16</v>
      </c>
    </row>
    <row r="110" spans="1:4" ht="15">
      <c r="A110" s="234" t="s">
        <v>373</v>
      </c>
      <c r="B110" s="235"/>
      <c r="C110" s="181" t="s">
        <v>372</v>
      </c>
      <c r="D110" s="199">
        <f>6.5+6.5</f>
        <v>13</v>
      </c>
    </row>
    <row r="111" spans="1:4" ht="15.75" customHeight="1">
      <c r="A111" s="424" t="s">
        <v>287</v>
      </c>
      <c r="B111" s="425"/>
      <c r="C111" s="181" t="s">
        <v>279</v>
      </c>
      <c r="D111" s="199">
        <v>2</v>
      </c>
    </row>
    <row r="112" spans="1:4" ht="15.75" customHeight="1">
      <c r="A112" s="234" t="s">
        <v>374</v>
      </c>
      <c r="B112" s="235"/>
      <c r="C112" s="181" t="s">
        <v>375</v>
      </c>
      <c r="D112" s="199">
        <f>8+4</f>
        <v>12</v>
      </c>
    </row>
    <row r="113" spans="1:4" ht="15.75" customHeight="1">
      <c r="A113" s="424" t="s">
        <v>294</v>
      </c>
      <c r="B113" s="425"/>
      <c r="C113" s="181" t="s">
        <v>347</v>
      </c>
      <c r="D113" s="199">
        <f>1+1</f>
        <v>2</v>
      </c>
    </row>
    <row r="114" spans="1:4" ht="15.75" customHeight="1">
      <c r="A114" s="234" t="s">
        <v>354</v>
      </c>
      <c r="B114" s="235"/>
      <c r="C114" s="181" t="s">
        <v>342</v>
      </c>
      <c r="D114" s="199">
        <v>2</v>
      </c>
    </row>
    <row r="115" spans="1:4" ht="15.75" customHeight="1">
      <c r="A115" s="424" t="s">
        <v>298</v>
      </c>
      <c r="B115" s="425"/>
      <c r="C115" s="181" t="s">
        <v>279</v>
      </c>
      <c r="D115" s="199">
        <v>2</v>
      </c>
    </row>
    <row r="116" spans="1:4" s="73" customFormat="1" ht="15" customHeight="1">
      <c r="A116" s="401" t="s">
        <v>1377</v>
      </c>
      <c r="B116" s="402"/>
      <c r="C116" s="72" t="s">
        <v>309</v>
      </c>
      <c r="D116" s="72">
        <v>8</v>
      </c>
    </row>
    <row r="117" spans="1:4" ht="15" customHeight="1">
      <c r="A117" s="401" t="s">
        <v>1378</v>
      </c>
      <c r="B117" s="402"/>
      <c r="C117" s="72" t="s">
        <v>360</v>
      </c>
      <c r="D117" s="72">
        <v>6</v>
      </c>
    </row>
    <row r="118" spans="1:4" ht="15" customHeight="1">
      <c r="A118" s="229" t="s">
        <v>1262</v>
      </c>
      <c r="B118" s="231"/>
      <c r="C118" s="72" t="s">
        <v>390</v>
      </c>
      <c r="D118" s="72">
        <v>0.5</v>
      </c>
    </row>
    <row r="119" spans="1:4" ht="15" customHeight="1">
      <c r="A119" s="229" t="s">
        <v>1379</v>
      </c>
      <c r="B119" s="231"/>
      <c r="C119" s="72" t="s">
        <v>342</v>
      </c>
      <c r="D119" s="72">
        <v>3</v>
      </c>
    </row>
    <row r="120" spans="1:4" ht="15" customHeight="1">
      <c r="A120" s="229" t="s">
        <v>1380</v>
      </c>
      <c r="B120" s="231"/>
      <c r="C120" s="72" t="s">
        <v>360</v>
      </c>
      <c r="D120" s="72">
        <v>3</v>
      </c>
    </row>
    <row r="121" spans="1:4" s="73" customFormat="1" ht="15" customHeight="1">
      <c r="A121" s="401" t="s">
        <v>1389</v>
      </c>
      <c r="B121" s="402"/>
      <c r="C121" s="72" t="s">
        <v>370</v>
      </c>
      <c r="D121" s="72">
        <v>7</v>
      </c>
    </row>
    <row r="122" spans="1:4" ht="28.5">
      <c r="A122" s="92" t="s">
        <v>1390</v>
      </c>
      <c r="B122" s="181"/>
      <c r="C122" s="181" t="s">
        <v>1250</v>
      </c>
      <c r="D122" s="181">
        <v>2</v>
      </c>
    </row>
    <row r="123" spans="1:4" s="73" customFormat="1" ht="29.25" customHeight="1">
      <c r="A123" s="401" t="s">
        <v>483</v>
      </c>
      <c r="B123" s="402"/>
      <c r="C123" s="105" t="s">
        <v>484</v>
      </c>
      <c r="D123" s="72">
        <v>1.5</v>
      </c>
    </row>
    <row r="124" spans="1:4" s="73" customFormat="1" ht="32.25" customHeight="1">
      <c r="A124" s="402" t="s">
        <v>1391</v>
      </c>
      <c r="B124" s="413"/>
      <c r="C124" s="72" t="s">
        <v>485</v>
      </c>
      <c r="D124" s="72">
        <v>1</v>
      </c>
    </row>
    <row r="125" spans="1:4" s="73" customFormat="1" ht="28.5">
      <c r="A125" s="234" t="s">
        <v>1392</v>
      </c>
      <c r="B125" s="235"/>
      <c r="C125" s="72" t="s">
        <v>485</v>
      </c>
      <c r="D125" s="72">
        <v>2</v>
      </c>
    </row>
    <row r="126" spans="1:4" s="73" customFormat="1" ht="15" customHeight="1">
      <c r="A126" s="401" t="s">
        <v>1394</v>
      </c>
      <c r="B126" s="402"/>
      <c r="C126" s="72" t="s">
        <v>279</v>
      </c>
      <c r="D126" s="72">
        <v>2</v>
      </c>
    </row>
    <row r="127" spans="1:4" s="73" customFormat="1" ht="15">
      <c r="A127" s="92" t="s">
        <v>1395</v>
      </c>
      <c r="B127" s="72"/>
      <c r="C127" s="72" t="s">
        <v>279</v>
      </c>
      <c r="D127" s="72">
        <v>2</v>
      </c>
    </row>
    <row r="128" spans="1:4" s="73" customFormat="1" ht="18.75" customHeight="1">
      <c r="A128" s="401" t="s">
        <v>583</v>
      </c>
      <c r="B128" s="402"/>
      <c r="C128" s="105" t="s">
        <v>279</v>
      </c>
      <c r="D128" s="72">
        <v>2</v>
      </c>
    </row>
    <row r="129" spans="1:4" s="73" customFormat="1" ht="21" customHeight="1">
      <c r="A129" s="229" t="s">
        <v>595</v>
      </c>
      <c r="B129" s="231"/>
      <c r="C129" s="105" t="s">
        <v>279</v>
      </c>
      <c r="D129" s="72">
        <v>1.5</v>
      </c>
    </row>
    <row r="130" spans="1:4" s="73" customFormat="1" ht="15.75" customHeight="1">
      <c r="A130" s="424" t="s">
        <v>612</v>
      </c>
      <c r="B130" s="425"/>
      <c r="C130" s="72" t="s">
        <v>279</v>
      </c>
      <c r="D130" s="72">
        <v>1</v>
      </c>
    </row>
    <row r="131" spans="1:4" s="73" customFormat="1" ht="29.25" customHeight="1">
      <c r="A131" s="401" t="s">
        <v>641</v>
      </c>
      <c r="B131" s="402"/>
      <c r="C131" s="85" t="s">
        <v>642</v>
      </c>
      <c r="D131" s="72">
        <f>1.5*4</f>
        <v>6</v>
      </c>
    </row>
    <row r="132" spans="1:4" s="73" customFormat="1" ht="15">
      <c r="A132" s="92" t="s">
        <v>679</v>
      </c>
      <c r="B132" s="72"/>
      <c r="C132" s="72" t="s">
        <v>678</v>
      </c>
      <c r="D132" s="72">
        <v>8</v>
      </c>
    </row>
    <row r="133" spans="1:4" s="73" customFormat="1" ht="29.25" customHeight="1">
      <c r="A133" s="401" t="s">
        <v>1396</v>
      </c>
      <c r="B133" s="402"/>
      <c r="C133" s="85" t="s">
        <v>342</v>
      </c>
      <c r="D133" s="72">
        <v>1.5</v>
      </c>
    </row>
    <row r="134" spans="1:4" s="73" customFormat="1" ht="15">
      <c r="A134" s="92" t="s">
        <v>1397</v>
      </c>
      <c r="B134" s="72"/>
      <c r="C134" s="72" t="s">
        <v>461</v>
      </c>
      <c r="D134" s="72">
        <v>4</v>
      </c>
    </row>
    <row r="135" spans="1:4" s="73" customFormat="1" ht="18.75" customHeight="1">
      <c r="A135" s="401" t="s">
        <v>1398</v>
      </c>
      <c r="B135" s="402"/>
      <c r="C135" s="105" t="s">
        <v>279</v>
      </c>
      <c r="D135" s="72">
        <v>3</v>
      </c>
    </row>
    <row r="136" spans="1:4" s="73" customFormat="1" ht="21" customHeight="1">
      <c r="A136" s="229" t="s">
        <v>1399</v>
      </c>
      <c r="B136" s="231"/>
      <c r="C136" s="105" t="s">
        <v>447</v>
      </c>
      <c r="D136" s="72">
        <v>3</v>
      </c>
    </row>
    <row r="137" spans="1:4" s="73" customFormat="1" ht="15.75" customHeight="1">
      <c r="A137" s="424" t="s">
        <v>1400</v>
      </c>
      <c r="B137" s="425"/>
      <c r="C137" s="72" t="s">
        <v>1401</v>
      </c>
      <c r="D137" s="72">
        <v>4.5</v>
      </c>
    </row>
    <row r="138" spans="1:4" s="73" customFormat="1" ht="18.75" customHeight="1">
      <c r="A138" s="401" t="s">
        <v>1406</v>
      </c>
      <c r="B138" s="402"/>
      <c r="C138" s="85" t="s">
        <v>961</v>
      </c>
      <c r="D138" s="72">
        <v>6</v>
      </c>
    </row>
    <row r="139" spans="1:4" s="73" customFormat="1" ht="15">
      <c r="A139" s="92" t="s">
        <v>1407</v>
      </c>
      <c r="B139" s="72"/>
      <c r="C139" s="72" t="s">
        <v>1408</v>
      </c>
      <c r="D139" s="72">
        <v>4</v>
      </c>
    </row>
    <row r="140" spans="1:4" s="73" customFormat="1" ht="18.75" customHeight="1">
      <c r="A140" s="401" t="s">
        <v>895</v>
      </c>
      <c r="B140" s="402"/>
      <c r="C140" s="105" t="s">
        <v>896</v>
      </c>
      <c r="D140" s="72">
        <v>2</v>
      </c>
    </row>
    <row r="141" spans="1:4" s="73" customFormat="1" ht="18.75" customHeight="1">
      <c r="A141" s="401" t="s">
        <v>1412</v>
      </c>
      <c r="B141" s="402"/>
      <c r="C141" s="188" t="s">
        <v>360</v>
      </c>
      <c r="D141" s="72">
        <v>1</v>
      </c>
    </row>
    <row r="142" spans="1:4" s="73" customFormat="1" ht="15">
      <c r="A142" s="92" t="s">
        <v>1301</v>
      </c>
      <c r="B142" s="72"/>
      <c r="C142" s="72" t="s">
        <v>1296</v>
      </c>
      <c r="D142" s="72">
        <v>1.5</v>
      </c>
    </row>
    <row r="143" spans="1:4" s="73" customFormat="1" ht="18.75" customHeight="1">
      <c r="A143" s="401" t="s">
        <v>1413</v>
      </c>
      <c r="B143" s="402"/>
      <c r="C143" s="105" t="s">
        <v>1136</v>
      </c>
      <c r="D143" s="72">
        <v>6</v>
      </c>
    </row>
    <row r="144" spans="1:4" s="73" customFormat="1" ht="15" customHeight="1">
      <c r="A144" s="228" t="s">
        <v>1298</v>
      </c>
      <c r="B144" s="231"/>
      <c r="C144" s="72" t="s">
        <v>1299</v>
      </c>
      <c r="D144" s="72">
        <v>2</v>
      </c>
    </row>
    <row r="145" spans="1:4" s="73" customFormat="1" ht="33" customHeight="1">
      <c r="A145" s="234" t="s">
        <v>905</v>
      </c>
      <c r="B145" s="235"/>
      <c r="C145" s="105" t="s">
        <v>906</v>
      </c>
      <c r="D145" s="72">
        <v>1.2</v>
      </c>
    </row>
    <row r="146" spans="1:4" s="73" customFormat="1" ht="15">
      <c r="A146" s="402" t="s">
        <v>907</v>
      </c>
      <c r="B146" s="413"/>
      <c r="C146" s="72" t="s">
        <v>908</v>
      </c>
      <c r="D146" s="72">
        <v>2.25</v>
      </c>
    </row>
    <row r="147" spans="1:4" s="73" customFormat="1" ht="15.75" customHeight="1">
      <c r="A147" s="424" t="s">
        <v>1414</v>
      </c>
      <c r="B147" s="425"/>
      <c r="C147" s="72" t="s">
        <v>955</v>
      </c>
      <c r="D147" s="72">
        <v>3</v>
      </c>
    </row>
    <row r="148" spans="1:4" s="73" customFormat="1" ht="15.75" customHeight="1">
      <c r="A148" s="234" t="s">
        <v>1415</v>
      </c>
      <c r="B148" s="235"/>
      <c r="C148" s="72" t="s">
        <v>279</v>
      </c>
      <c r="D148" s="72">
        <v>1</v>
      </c>
    </row>
    <row r="149" spans="1:4" s="73" customFormat="1" ht="15.75" customHeight="1">
      <c r="A149" s="424" t="s">
        <v>1416</v>
      </c>
      <c r="B149" s="425"/>
      <c r="C149" s="72" t="s">
        <v>955</v>
      </c>
      <c r="D149" s="72">
        <v>10</v>
      </c>
    </row>
    <row r="150" spans="1:4" s="73" customFormat="1" ht="15">
      <c r="A150" s="402" t="s">
        <v>909</v>
      </c>
      <c r="B150" s="413"/>
      <c r="C150" s="72" t="s">
        <v>910</v>
      </c>
      <c r="D150" s="72">
        <v>1.5</v>
      </c>
    </row>
    <row r="151" spans="1:4" s="73" customFormat="1" ht="15">
      <c r="A151" s="92" t="s">
        <v>1305</v>
      </c>
      <c r="B151" s="72"/>
      <c r="C151" s="72" t="s">
        <v>1306</v>
      </c>
      <c r="D151" s="72">
        <v>1.5</v>
      </c>
    </row>
    <row r="152" spans="1:4" s="73" customFormat="1" ht="29.25" customHeight="1">
      <c r="A152" s="228" t="s">
        <v>1307</v>
      </c>
      <c r="B152" s="231"/>
      <c r="C152" s="105" t="s">
        <v>1308</v>
      </c>
      <c r="D152" s="72">
        <v>1.8</v>
      </c>
    </row>
    <row r="153" spans="1:4" s="73" customFormat="1" ht="18" customHeight="1">
      <c r="A153" s="228" t="s">
        <v>1089</v>
      </c>
      <c r="B153" s="231"/>
      <c r="C153" s="72" t="s">
        <v>1090</v>
      </c>
      <c r="D153" s="72">
        <v>1.5</v>
      </c>
    </row>
    <row r="154" spans="1:4" s="73" customFormat="1" ht="15" customHeight="1">
      <c r="A154" s="228" t="s">
        <v>1421</v>
      </c>
      <c r="B154" s="231"/>
      <c r="C154" s="72" t="s">
        <v>378</v>
      </c>
      <c r="D154" s="72">
        <v>2</v>
      </c>
    </row>
    <row r="155" spans="1:4" s="73" customFormat="1" ht="18.75" customHeight="1">
      <c r="A155" s="234" t="s">
        <v>1310</v>
      </c>
      <c r="B155" s="235"/>
      <c r="C155" s="105" t="s">
        <v>1311</v>
      </c>
      <c r="D155" s="72">
        <v>3.4</v>
      </c>
    </row>
    <row r="156" spans="1:4" s="73" customFormat="1" ht="15">
      <c r="A156" s="402" t="s">
        <v>1422</v>
      </c>
      <c r="B156" s="413"/>
      <c r="C156" s="72" t="s">
        <v>279</v>
      </c>
      <c r="D156" s="72">
        <v>1</v>
      </c>
    </row>
    <row r="157" spans="1:4" s="73" customFormat="1" ht="15" customHeight="1">
      <c r="A157" s="202" t="s">
        <v>1091</v>
      </c>
      <c r="B157" s="254"/>
      <c r="C157" s="105" t="s">
        <v>1092</v>
      </c>
      <c r="D157" s="72">
        <v>1.5</v>
      </c>
    </row>
    <row r="158" spans="1:4" s="73" customFormat="1" ht="15.75" customHeight="1">
      <c r="A158" s="401" t="s">
        <v>1312</v>
      </c>
      <c r="B158" s="401"/>
      <c r="C158" s="72" t="s">
        <v>1313</v>
      </c>
      <c r="D158" s="72">
        <v>1.5</v>
      </c>
    </row>
    <row r="159" spans="1:4" s="73" customFormat="1" ht="15">
      <c r="A159" s="402" t="s">
        <v>1093</v>
      </c>
      <c r="B159" s="413"/>
      <c r="C159" s="72" t="s">
        <v>1094</v>
      </c>
      <c r="D159" s="72">
        <v>1.1</v>
      </c>
    </row>
    <row r="160" spans="1:4" s="73" customFormat="1" ht="28.5">
      <c r="A160" s="229" t="s">
        <v>1423</v>
      </c>
      <c r="B160" s="231"/>
      <c r="C160" s="72" t="s">
        <v>1424</v>
      </c>
      <c r="D160" s="72">
        <v>1</v>
      </c>
    </row>
    <row r="161" spans="1:4" s="73" customFormat="1" ht="28.5">
      <c r="A161" s="229" t="s">
        <v>1425</v>
      </c>
      <c r="B161" s="231"/>
      <c r="C161" s="72" t="s">
        <v>461</v>
      </c>
      <c r="D161" s="72">
        <v>4</v>
      </c>
    </row>
    <row r="162" spans="1:4" s="73" customFormat="1" ht="15">
      <c r="A162" s="402" t="s">
        <v>1426</v>
      </c>
      <c r="B162" s="413"/>
      <c r="C162" s="72" t="s">
        <v>378</v>
      </c>
      <c r="D162" s="72">
        <v>2</v>
      </c>
    </row>
    <row r="163" spans="1:4" ht="15.75" customHeight="1">
      <c r="A163" s="236" t="s">
        <v>353</v>
      </c>
      <c r="B163" s="71"/>
      <c r="C163" s="77" t="s">
        <v>342</v>
      </c>
      <c r="D163" s="77">
        <v>4</v>
      </c>
    </row>
    <row r="164" spans="1:4" ht="15.75" thickBot="1">
      <c r="A164" s="452" t="s">
        <v>99</v>
      </c>
      <c r="B164" s="505"/>
      <c r="C164" s="77"/>
      <c r="D164" s="77"/>
    </row>
    <row r="165" spans="1:4" ht="29.25" customHeight="1" thickBot="1">
      <c r="A165" s="392" t="s">
        <v>307</v>
      </c>
      <c r="B165" s="393"/>
      <c r="C165" s="78" t="s">
        <v>408</v>
      </c>
      <c r="D165" s="80" t="s">
        <v>413</v>
      </c>
    </row>
    <row r="166" spans="1:4" ht="15.75" thickBot="1">
      <c r="A166" s="377" t="s">
        <v>101</v>
      </c>
      <c r="B166" s="378"/>
      <c r="C166" s="77"/>
      <c r="D166" s="77"/>
    </row>
    <row r="167" spans="1:4" ht="15.75" thickBot="1">
      <c r="A167" s="443" t="s">
        <v>102</v>
      </c>
      <c r="B167" s="375"/>
      <c r="C167" s="77" t="s">
        <v>243</v>
      </c>
      <c r="D167" s="77"/>
    </row>
    <row r="168" spans="1:4" ht="15">
      <c r="A168" s="90" t="s">
        <v>1334</v>
      </c>
      <c r="B168" s="233"/>
      <c r="C168" s="72"/>
      <c r="D168" s="72">
        <f>130</f>
        <v>130</v>
      </c>
    </row>
    <row r="169" spans="1:4" ht="15">
      <c r="A169" s="90" t="s">
        <v>1357</v>
      </c>
      <c r="B169" s="233"/>
      <c r="C169" s="72"/>
      <c r="D169" s="72"/>
    </row>
    <row r="170" spans="1:4" ht="15">
      <c r="A170" s="90" t="s">
        <v>1358</v>
      </c>
      <c r="B170" s="233"/>
      <c r="C170" s="72" t="s">
        <v>243</v>
      </c>
      <c r="D170" s="72">
        <f>175+130</f>
        <v>305</v>
      </c>
    </row>
    <row r="171" spans="1:4" ht="28.5">
      <c r="A171" s="90" t="s">
        <v>1359</v>
      </c>
      <c r="B171" s="232"/>
      <c r="C171" s="72" t="s">
        <v>243</v>
      </c>
      <c r="D171" s="72">
        <f>6*130+175</f>
        <v>955</v>
      </c>
    </row>
    <row r="172" spans="1:4" ht="15">
      <c r="A172" s="90" t="s">
        <v>1360</v>
      </c>
      <c r="B172" s="233"/>
      <c r="C172" s="72" t="s">
        <v>243</v>
      </c>
      <c r="D172" s="72">
        <f>175+65</f>
        <v>240</v>
      </c>
    </row>
    <row r="173" spans="1:4" ht="15">
      <c r="A173" s="90" t="s">
        <v>1361</v>
      </c>
      <c r="B173" s="233"/>
      <c r="C173" s="72" t="s">
        <v>243</v>
      </c>
      <c r="D173" s="72">
        <f>175+130</f>
        <v>305</v>
      </c>
    </row>
    <row r="174" spans="1:4" ht="15">
      <c r="A174" s="90" t="s">
        <v>1370</v>
      </c>
      <c r="B174" s="135"/>
      <c r="C174" s="199"/>
      <c r="D174" s="199">
        <v>1</v>
      </c>
    </row>
    <row r="175" spans="1:4" ht="15">
      <c r="A175" s="90" t="s">
        <v>1371</v>
      </c>
      <c r="B175" s="135"/>
      <c r="C175" s="199"/>
      <c r="D175" s="199">
        <v>2</v>
      </c>
    </row>
    <row r="176" spans="1:4" ht="15">
      <c r="A176" s="90" t="s">
        <v>270</v>
      </c>
      <c r="B176" s="135"/>
      <c r="C176" s="199"/>
      <c r="D176" s="199">
        <v>1</v>
      </c>
    </row>
    <row r="177" spans="1:4" ht="15">
      <c r="A177" s="90" t="s">
        <v>274</v>
      </c>
      <c r="B177" s="135"/>
      <c r="C177" s="199"/>
      <c r="D177" s="199">
        <v>1.5</v>
      </c>
    </row>
    <row r="178" spans="1:5" s="73" customFormat="1" ht="15">
      <c r="A178" s="90" t="s">
        <v>1381</v>
      </c>
      <c r="B178" s="91"/>
      <c r="C178" s="72"/>
      <c r="D178" s="72" t="s">
        <v>243</v>
      </c>
      <c r="E178" s="72">
        <v>2</v>
      </c>
    </row>
    <row r="179" spans="1:5" s="73" customFormat="1" ht="15">
      <c r="A179" s="90" t="s">
        <v>1382</v>
      </c>
      <c r="B179" s="91"/>
      <c r="C179" s="72"/>
      <c r="D179" s="72" t="s">
        <v>243</v>
      </c>
      <c r="E179" s="72">
        <v>1</v>
      </c>
    </row>
    <row r="180" spans="1:4" s="73" customFormat="1" ht="15">
      <c r="A180" s="90" t="s">
        <v>1393</v>
      </c>
      <c r="B180" s="91"/>
      <c r="C180" s="72" t="s">
        <v>243</v>
      </c>
      <c r="D180" s="72">
        <v>1</v>
      </c>
    </row>
    <row r="181" spans="1:4" s="73" customFormat="1" ht="15">
      <c r="A181" s="90" t="s">
        <v>624</v>
      </c>
      <c r="B181" s="91"/>
      <c r="C181" s="72" t="s">
        <v>243</v>
      </c>
      <c r="D181" s="72">
        <v>2</v>
      </c>
    </row>
    <row r="182" spans="1:4" s="73" customFormat="1" ht="15">
      <c r="A182" s="90" t="s">
        <v>627</v>
      </c>
      <c r="B182" s="91"/>
      <c r="C182" s="72" t="s">
        <v>243</v>
      </c>
      <c r="D182" s="72">
        <v>1.5</v>
      </c>
    </row>
    <row r="183" spans="1:4" s="73" customFormat="1" ht="18" customHeight="1">
      <c r="A183" s="90" t="s">
        <v>776</v>
      </c>
      <c r="B183" s="91"/>
      <c r="C183" s="72" t="s">
        <v>243</v>
      </c>
      <c r="D183" s="72">
        <v>2</v>
      </c>
    </row>
    <row r="184" spans="1:4" s="73" customFormat="1" ht="18" customHeight="1">
      <c r="A184" s="90" t="s">
        <v>1402</v>
      </c>
      <c r="B184" s="91"/>
      <c r="C184" s="72" t="s">
        <v>243</v>
      </c>
      <c r="D184" s="72">
        <v>2</v>
      </c>
    </row>
    <row r="185" spans="1:4" s="73" customFormat="1" ht="15">
      <c r="A185" s="90" t="s">
        <v>1403</v>
      </c>
      <c r="B185" s="91"/>
      <c r="C185" s="72" t="s">
        <v>243</v>
      </c>
      <c r="D185" s="72">
        <v>2</v>
      </c>
    </row>
    <row r="186" spans="1:4" s="73" customFormat="1" ht="15">
      <c r="A186" s="90" t="s">
        <v>1404</v>
      </c>
      <c r="B186" s="91"/>
      <c r="C186" s="72" t="s">
        <v>243</v>
      </c>
      <c r="D186" s="72">
        <v>1</v>
      </c>
    </row>
    <row r="187" spans="1:4" s="73" customFormat="1" ht="15">
      <c r="A187" s="90" t="s">
        <v>1405</v>
      </c>
      <c r="B187" s="91"/>
      <c r="C187" s="72" t="s">
        <v>243</v>
      </c>
      <c r="D187" s="72">
        <v>2</v>
      </c>
    </row>
    <row r="188" spans="1:4" s="73" customFormat="1" ht="15">
      <c r="A188" s="90" t="s">
        <v>1294</v>
      </c>
      <c r="B188" s="91"/>
      <c r="C188" s="72" t="s">
        <v>243</v>
      </c>
      <c r="D188" s="72">
        <v>4</v>
      </c>
    </row>
    <row r="189" spans="1:4" s="73" customFormat="1" ht="15" customHeight="1">
      <c r="A189" s="90" t="s">
        <v>1409</v>
      </c>
      <c r="B189" s="91"/>
      <c r="C189" s="72" t="s">
        <v>243</v>
      </c>
      <c r="D189" s="72">
        <v>6</v>
      </c>
    </row>
    <row r="190" spans="1:4" s="73" customFormat="1" ht="15">
      <c r="A190" s="90" t="s">
        <v>1417</v>
      </c>
      <c r="B190" s="91"/>
      <c r="C190" s="72" t="s">
        <v>243</v>
      </c>
      <c r="D190" s="72">
        <v>1</v>
      </c>
    </row>
    <row r="191" spans="1:4" s="73" customFormat="1" ht="33" customHeight="1">
      <c r="A191" s="90" t="s">
        <v>1418</v>
      </c>
      <c r="B191" s="91"/>
      <c r="C191" s="72" t="s">
        <v>243</v>
      </c>
      <c r="D191" s="72">
        <v>2</v>
      </c>
    </row>
    <row r="192" spans="1:4" s="73" customFormat="1" ht="28.5">
      <c r="A192" s="90" t="s">
        <v>1419</v>
      </c>
      <c r="B192" s="91"/>
      <c r="C192" s="72" t="s">
        <v>243</v>
      </c>
      <c r="D192" s="72">
        <v>2</v>
      </c>
    </row>
    <row r="193" spans="1:4" s="73" customFormat="1" ht="15">
      <c r="A193" s="90" t="s">
        <v>1420</v>
      </c>
      <c r="B193" s="91"/>
      <c r="C193" s="72" t="s">
        <v>243</v>
      </c>
      <c r="D193" s="72">
        <v>2</v>
      </c>
    </row>
    <row r="194" spans="1:4" s="73" customFormat="1" ht="15">
      <c r="A194" s="90" t="s">
        <v>1427</v>
      </c>
      <c r="B194" s="91"/>
      <c r="C194" s="72" t="s">
        <v>243</v>
      </c>
      <c r="D194" s="72">
        <v>1</v>
      </c>
    </row>
    <row r="195" spans="1:4" s="73" customFormat="1" ht="15">
      <c r="A195" s="90" t="s">
        <v>1314</v>
      </c>
      <c r="B195" s="91"/>
      <c r="C195" s="72" t="s">
        <v>243</v>
      </c>
      <c r="D195" s="72">
        <v>2</v>
      </c>
    </row>
    <row r="196" spans="1:4" s="73" customFormat="1" ht="15">
      <c r="A196" s="263" t="s">
        <v>1316</v>
      </c>
      <c r="B196" s="91"/>
      <c r="C196" s="72" t="s">
        <v>243</v>
      </c>
      <c r="D196" s="72">
        <v>1</v>
      </c>
    </row>
    <row r="197" spans="1:4" s="73" customFormat="1" ht="15">
      <c r="A197" s="95" t="s">
        <v>627</v>
      </c>
      <c r="B197" s="70"/>
      <c r="C197" s="77" t="s">
        <v>243</v>
      </c>
      <c r="D197" s="77">
        <v>1.5</v>
      </c>
    </row>
    <row r="198" spans="1:4" ht="15">
      <c r="A198" s="95" t="s">
        <v>270</v>
      </c>
      <c r="B198" s="70"/>
      <c r="C198" s="77"/>
      <c r="D198" s="77">
        <v>1</v>
      </c>
    </row>
    <row r="199" spans="1:4" ht="15">
      <c r="A199" s="95" t="s">
        <v>274</v>
      </c>
      <c r="B199" s="70"/>
      <c r="C199" s="77"/>
      <c r="D199" s="77">
        <v>1.5</v>
      </c>
    </row>
    <row r="200" spans="1:4" ht="15.75" thickBot="1">
      <c r="A200" s="395" t="s">
        <v>410</v>
      </c>
      <c r="B200" s="396"/>
      <c r="C200" s="77"/>
      <c r="D200" s="77"/>
    </row>
    <row r="201" spans="1:4" ht="15.75" thickBot="1">
      <c r="A201" s="397" t="s">
        <v>104</v>
      </c>
      <c r="B201" s="398"/>
      <c r="C201" s="77"/>
      <c r="D201" s="77"/>
    </row>
    <row r="202" spans="1:4" ht="15">
      <c r="A202" s="79"/>
      <c r="B202" s="79"/>
      <c r="C202" s="76"/>
      <c r="D202" s="76"/>
    </row>
    <row r="203" spans="1:4" ht="15.75">
      <c r="A203" s="394" t="s">
        <v>233</v>
      </c>
      <c r="B203" s="394"/>
      <c r="C203" s="394"/>
      <c r="D203" s="394"/>
    </row>
    <row r="204" spans="1:4" ht="15">
      <c r="A204" s="76"/>
      <c r="B204" s="76"/>
      <c r="C204" s="76"/>
      <c r="D204" s="76"/>
    </row>
    <row r="205" spans="1:4" ht="15.75">
      <c r="A205" s="394" t="s">
        <v>234</v>
      </c>
      <c r="B205" s="394"/>
      <c r="C205" s="394"/>
      <c r="D205" s="394"/>
    </row>
  </sheetData>
  <sheetProtection/>
  <mergeCells count="79">
    <mergeCell ref="A203:D203"/>
    <mergeCell ref="A205:D205"/>
    <mergeCell ref="A146:B146"/>
    <mergeCell ref="A150:B150"/>
    <mergeCell ref="A200:B200"/>
    <mergeCell ref="A201:B201"/>
    <mergeCell ref="A149:B149"/>
    <mergeCell ref="A167:B167"/>
    <mergeCell ref="A32:B32"/>
    <mergeCell ref="A38:B38"/>
    <mergeCell ref="A39:B39"/>
    <mergeCell ref="A40:B40"/>
    <mergeCell ref="A77:B77"/>
    <mergeCell ref="A31:B31"/>
    <mergeCell ref="A16:B16"/>
    <mergeCell ref="A131:B131"/>
    <mergeCell ref="A63:B63"/>
    <mergeCell ref="A147:B147"/>
    <mergeCell ref="A138:B138"/>
    <mergeCell ref="A140:B140"/>
    <mergeCell ref="A90:B90"/>
    <mergeCell ref="A113:B113"/>
    <mergeCell ref="A115:B115"/>
    <mergeCell ref="A116:B116"/>
    <mergeCell ref="A117:B117"/>
    <mergeCell ref="A121:B121"/>
    <mergeCell ref="A123:B123"/>
    <mergeCell ref="A124:B124"/>
    <mergeCell ref="A126:B126"/>
    <mergeCell ref="A17:B17"/>
    <mergeCell ref="A8:B8"/>
    <mergeCell ref="A9:B9"/>
    <mergeCell ref="A10:B10"/>
    <mergeCell ref="A11:B11"/>
    <mergeCell ref="A12:B12"/>
    <mergeCell ref="A14:B14"/>
    <mergeCell ref="A15:B15"/>
    <mergeCell ref="A7:B7"/>
    <mergeCell ref="A1:D1"/>
    <mergeCell ref="A2:D2"/>
    <mergeCell ref="A3:D3"/>
    <mergeCell ref="A5:B5"/>
    <mergeCell ref="A6:B6"/>
    <mergeCell ref="A20:B20"/>
    <mergeCell ref="A21:B21"/>
    <mergeCell ref="A106:B106"/>
    <mergeCell ref="A108:B108"/>
    <mergeCell ref="A111:B111"/>
    <mergeCell ref="A22:B22"/>
    <mergeCell ref="A23:B23"/>
    <mergeCell ref="A24:B24"/>
    <mergeCell ref="A25:B25"/>
    <mergeCell ref="A26:B26"/>
    <mergeCell ref="A27:B27"/>
    <mergeCell ref="A28:B28"/>
    <mergeCell ref="A29:B29"/>
    <mergeCell ref="A60:B60"/>
    <mergeCell ref="A65:B65"/>
    <mergeCell ref="A30:B30"/>
    <mergeCell ref="A137:B137"/>
    <mergeCell ref="A33:B33"/>
    <mergeCell ref="A34:B34"/>
    <mergeCell ref="A35:B35"/>
    <mergeCell ref="A36:B36"/>
    <mergeCell ref="A37:B37"/>
    <mergeCell ref="A67:B67"/>
    <mergeCell ref="A128:B128"/>
    <mergeCell ref="A130:B130"/>
    <mergeCell ref="A133:B133"/>
    <mergeCell ref="A135:B135"/>
    <mergeCell ref="A141:B141"/>
    <mergeCell ref="A143:B143"/>
    <mergeCell ref="A164:B164"/>
    <mergeCell ref="A165:B165"/>
    <mergeCell ref="A166:B166"/>
    <mergeCell ref="A156:B156"/>
    <mergeCell ref="A158:B158"/>
    <mergeCell ref="A159:B159"/>
    <mergeCell ref="A162:B162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2012-09-07T04:36:41Z</dcterms:modified>
  <cp:category/>
  <cp:version/>
  <cp:contentType/>
  <cp:contentStatus/>
</cp:coreProperties>
</file>